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embert.groenman\OneDrive - Sportbonden\Vergaderingen\Triatlonraad\2019\Vergadering 11 12 19\"/>
    </mc:Choice>
  </mc:AlternateContent>
  <xr:revisionPtr revIDLastSave="0" documentId="8_{2F390A12-0088-4118-AF84-3D1A3AADCE97}" xr6:coauthVersionLast="45" xr6:coauthVersionMax="45" xr10:uidLastSave="{00000000-0000-0000-0000-000000000000}"/>
  <bookViews>
    <workbookView xWindow="-108" yWindow="-108" windowWidth="23256" windowHeight="12576" tabRatio="912" firstSheet="1" activeTab="3" xr2:uid="{00000000-000D-0000-FFFF-FFFF00000000}"/>
  </bookViews>
  <sheets>
    <sheet name="controleblad" sheetId="44" state="hidden" r:id="rId1"/>
    <sheet name="Voorblad" sheetId="49" r:id="rId2"/>
    <sheet name="Invoer met subtotalen" sheetId="34" state="hidden" r:id="rId3"/>
    <sheet name="Begroting" sheetId="37" r:id="rId4"/>
    <sheet name="Inhoud" sheetId="41" state="hidden" r:id="rId5"/>
    <sheet name="Algemeen" sheetId="43" state="hidden" r:id="rId6"/>
    <sheet name="Resultatenanalyse" sheetId="31" state="hidden" r:id="rId7"/>
    <sheet name="Financiële positie" sheetId="32" state="hidden" r:id="rId8"/>
    <sheet name="Exploitatie" sheetId="1" state="hidden" r:id="rId9"/>
    <sheet name="Kasstroomoverzicht" sheetId="39" state="hidden" r:id="rId10"/>
    <sheet name="Grondslagen" sheetId="40" state="hidden" r:id="rId11"/>
    <sheet name="Toelichting_expl" sheetId="6" r:id="rId12"/>
    <sheet name="Overige gegevens 2017" sheetId="50" state="hidden" r:id="rId13"/>
    <sheet name="topsport spec" sheetId="46" state="hidden" r:id="rId14"/>
  </sheets>
  <externalReferences>
    <externalReference r:id="rId15"/>
  </externalReferences>
  <definedNames>
    <definedName name="_xlnm._FilterDatabase" localSheetId="2" hidden="1">'Invoer met subtotalen'!$A$1:$H$349</definedName>
    <definedName name="_xlnm.Print_Area" localSheetId="5">Algemeen!$A$1:$H$51</definedName>
    <definedName name="_xlnm.Print_Area" localSheetId="3">Begroting!$A$1:$N$43</definedName>
    <definedName name="_xlnm.Print_Area" localSheetId="8">Exploitatie!$A$1:$J$43</definedName>
    <definedName name="_xlnm.Print_Area" localSheetId="7">'Financiële positie'!$A$1:$J$30</definedName>
    <definedName name="_xlnm.Print_Area" localSheetId="10">Grondslagen!$A$1:$K$76</definedName>
    <definedName name="_xlnm.Print_Area" localSheetId="4">Inhoud!$A$1:$G$45</definedName>
    <definedName name="_xlnm.Print_Area" localSheetId="6">Resultatenanalyse!$A$1:$L$41</definedName>
    <definedName name="_xlnm.Print_Titles" localSheetId="2">'Invoer met subtotalen'!$1:$1</definedName>
    <definedName name="_xlnm.Print_Titles" localSheetId="11">Toelichting_expl!$1:$1</definedName>
    <definedName name="_xlnm.Print_Titles" localSheetId="13">'topsport spec'!$1:$1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6" i="6" l="1"/>
  <c r="I124" i="6" l="1"/>
  <c r="E124" i="6"/>
  <c r="I119" i="6"/>
  <c r="G119" i="6"/>
  <c r="G124" i="6" s="1"/>
  <c r="K124" i="6"/>
  <c r="I153" i="6" l="1"/>
  <c r="I102" i="6"/>
  <c r="I100" i="6"/>
  <c r="M153" i="6" l="1"/>
  <c r="M149" i="6"/>
  <c r="K153" i="6"/>
  <c r="K149" i="6"/>
  <c r="I149" i="6"/>
  <c r="G153" i="6"/>
  <c r="G149" i="6"/>
  <c r="E40" i="37" l="1"/>
  <c r="E34" i="37"/>
  <c r="E21" i="37"/>
  <c r="I34" i="37"/>
  <c r="I21" i="37"/>
  <c r="I179" i="6" l="1"/>
  <c r="I188" i="6"/>
  <c r="I28" i="37" s="1"/>
  <c r="I168" i="6"/>
  <c r="I151" i="6"/>
  <c r="I26" i="6"/>
  <c r="I10" i="37" s="1"/>
  <c r="E223" i="6" l="1"/>
  <c r="E33" i="37" s="1"/>
  <c r="E216" i="6"/>
  <c r="E32" i="37" s="1"/>
  <c r="E209" i="6"/>
  <c r="E31" i="37" s="1"/>
  <c r="E203" i="6"/>
  <c r="E30" i="37" s="1"/>
  <c r="E195" i="6"/>
  <c r="E29" i="37" s="1"/>
  <c r="E188" i="6"/>
  <c r="E28" i="37" s="1"/>
  <c r="E173" i="6"/>
  <c r="E27" i="37" s="1"/>
  <c r="E142" i="6"/>
  <c r="E25" i="37" s="1"/>
  <c r="E132" i="6"/>
  <c r="E24" i="37" s="1"/>
  <c r="E23" i="37"/>
  <c r="E116" i="6"/>
  <c r="E22" i="37" s="1"/>
  <c r="E92" i="6"/>
  <c r="E105" i="6" s="1"/>
  <c r="E20" i="37" s="1"/>
  <c r="E83" i="6"/>
  <c r="E17" i="37" s="1"/>
  <c r="E70" i="6"/>
  <c r="E16" i="37" s="1"/>
  <c r="E64" i="6"/>
  <c r="E15" i="37" s="1"/>
  <c r="E58" i="6"/>
  <c r="E14" i="37" s="1"/>
  <c r="E52" i="6"/>
  <c r="E13" i="37" s="1"/>
  <c r="E31" i="6"/>
  <c r="E11" i="37" s="1"/>
  <c r="E26" i="6"/>
  <c r="E10" i="37" s="1"/>
  <c r="E20" i="6"/>
  <c r="E9" i="37" s="1"/>
  <c r="E14" i="6"/>
  <c r="E8" i="37" s="1"/>
  <c r="I237" i="6"/>
  <c r="I234" i="6"/>
  <c r="I231" i="6"/>
  <c r="I40" i="37" s="1"/>
  <c r="I223" i="6"/>
  <c r="I33" i="37" s="1"/>
  <c r="I216" i="6"/>
  <c r="I32" i="37" s="1"/>
  <c r="I209" i="6"/>
  <c r="I31" i="37" s="1"/>
  <c r="I203" i="6"/>
  <c r="I30" i="37" s="1"/>
  <c r="I195" i="6"/>
  <c r="I29" i="37" s="1"/>
  <c r="I173" i="6"/>
  <c r="I27" i="37" s="1"/>
  <c r="I164" i="6"/>
  <c r="I26" i="37" s="1"/>
  <c r="I142" i="6"/>
  <c r="I25" i="37" s="1"/>
  <c r="I132" i="6"/>
  <c r="I24" i="37" s="1"/>
  <c r="I23" i="37"/>
  <c r="I116" i="6"/>
  <c r="I22" i="37" s="1"/>
  <c r="I92" i="6"/>
  <c r="I105" i="6" s="1"/>
  <c r="I20" i="37" s="1"/>
  <c r="I83" i="6"/>
  <c r="I17" i="37" s="1"/>
  <c r="I70" i="6"/>
  <c r="I16" i="37" s="1"/>
  <c r="I64" i="6"/>
  <c r="I15" i="37" s="1"/>
  <c r="I58" i="6"/>
  <c r="I14" i="37" s="1"/>
  <c r="I52" i="6"/>
  <c r="I13" i="37" s="1"/>
  <c r="I42" i="6"/>
  <c r="I12" i="37" s="1"/>
  <c r="I31" i="6"/>
  <c r="I11" i="37" s="1"/>
  <c r="I20" i="6"/>
  <c r="I9" i="37" s="1"/>
  <c r="I14" i="6"/>
  <c r="I8" i="37" s="1"/>
  <c r="I36" i="37" l="1"/>
  <c r="I18" i="37"/>
  <c r="E42" i="6"/>
  <c r="E35" i="6" s="1"/>
  <c r="E12" i="37" s="1"/>
  <c r="E18" i="37" s="1"/>
  <c r="E164" i="6"/>
  <c r="E26" i="37" s="1"/>
  <c r="E36" i="37" s="1"/>
  <c r="E38" i="37" l="1"/>
  <c r="E42" i="37" s="1"/>
  <c r="I38" i="37"/>
  <c r="I42" i="37" s="1"/>
  <c r="G14" i="6"/>
  <c r="K14" i="6"/>
  <c r="M14" i="6"/>
  <c r="G223" i="6" l="1"/>
  <c r="G216" i="6"/>
  <c r="G209" i="6"/>
  <c r="G203" i="6"/>
  <c r="G195" i="6"/>
  <c r="G142" i="6"/>
  <c r="G132" i="6"/>
  <c r="G116" i="6"/>
  <c r="G188" i="6"/>
  <c r="G148" i="6"/>
  <c r="G147" i="6"/>
  <c r="G151" i="6"/>
  <c r="G168" i="6"/>
  <c r="G40" i="6"/>
  <c r="G41" i="6"/>
  <c r="G173" i="6" l="1"/>
  <c r="G164" i="6"/>
  <c r="G92" i="6"/>
  <c r="G105" i="6" s="1"/>
  <c r="G83" i="6" l="1"/>
  <c r="G70" i="6"/>
  <c r="G64" i="6"/>
  <c r="G58" i="6"/>
  <c r="G42" i="6"/>
  <c r="G35" i="6" s="1"/>
  <c r="G52" i="6"/>
  <c r="G31" i="6"/>
  <c r="G26" i="6"/>
  <c r="G20" i="6"/>
  <c r="G40" i="37" l="1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36" i="37" l="1"/>
  <c r="G17" i="37"/>
  <c r="G16" i="37"/>
  <c r="G15" i="37"/>
  <c r="G14" i="37"/>
  <c r="G13" i="37"/>
  <c r="G12" i="37"/>
  <c r="G11" i="37"/>
  <c r="G10" i="37"/>
  <c r="G9" i="37"/>
  <c r="G8" i="37"/>
  <c r="G18" i="37" l="1"/>
  <c r="J20" i="31"/>
  <c r="H21" i="31"/>
  <c r="J21" i="31"/>
  <c r="J22" i="31"/>
  <c r="J23" i="31"/>
  <c r="J24" i="31"/>
  <c r="J25" i="31"/>
  <c r="J28" i="31"/>
  <c r="J29" i="31"/>
  <c r="J30" i="31"/>
  <c r="G36" i="31"/>
  <c r="J8" i="31"/>
  <c r="J9" i="31"/>
  <c r="J12" i="31"/>
  <c r="J13" i="31"/>
  <c r="J14" i="31"/>
  <c r="J15" i="31"/>
  <c r="J16" i="31"/>
  <c r="J17" i="31"/>
  <c r="G18" i="31"/>
  <c r="H8" i="31" s="1"/>
  <c r="K18" i="31"/>
  <c r="K36" i="31"/>
  <c r="J40" i="31"/>
  <c r="K37" i="31" l="1"/>
  <c r="K41" i="31" s="1"/>
  <c r="H28" i="31"/>
  <c r="G38" i="37"/>
  <c r="G42" i="37" s="1"/>
  <c r="H30" i="31"/>
  <c r="H23" i="31"/>
  <c r="J18" i="31"/>
  <c r="L11" i="31" s="1"/>
  <c r="H25" i="31"/>
  <c r="H11" i="31"/>
  <c r="H17" i="31"/>
  <c r="H33" i="31"/>
  <c r="L30" i="31"/>
  <c r="L12" i="31"/>
  <c r="L31" i="31"/>
  <c r="L10" i="31"/>
  <c r="H27" i="31"/>
  <c r="H32" i="31"/>
  <c r="H10" i="31"/>
  <c r="H15" i="31"/>
  <c r="H29" i="31"/>
  <c r="H26" i="31"/>
  <c r="H24" i="31"/>
  <c r="H22" i="31"/>
  <c r="H20" i="31"/>
  <c r="H31" i="31"/>
  <c r="L22" i="31"/>
  <c r="L17" i="31"/>
  <c r="L34" i="31"/>
  <c r="L28" i="31"/>
  <c r="L24" i="31"/>
  <c r="L20" i="31"/>
  <c r="L29" i="31"/>
  <c r="L25" i="31"/>
  <c r="L21" i="31"/>
  <c r="H9" i="31"/>
  <c r="H40" i="31"/>
  <c r="G37" i="31"/>
  <c r="H34" i="31" s="1"/>
  <c r="H16" i="31"/>
  <c r="H14" i="31"/>
  <c r="H13" i="31"/>
  <c r="H12" i="31"/>
  <c r="L8" i="31"/>
  <c r="L15" i="31"/>
  <c r="L9" i="31"/>
  <c r="L14" i="31"/>
  <c r="L16" i="31" l="1"/>
  <c r="L40" i="31"/>
  <c r="L13" i="31"/>
  <c r="L18" i="31" s="1"/>
  <c r="L23" i="31"/>
  <c r="L32" i="31"/>
  <c r="H18" i="31"/>
  <c r="G39" i="31"/>
  <c r="H37" i="31"/>
  <c r="H39" i="31" s="1"/>
  <c r="H41" i="31" s="1"/>
  <c r="G41" i="31" l="1"/>
  <c r="H36" i="31"/>
  <c r="E27" i="34"/>
  <c r="D42" i="34" l="1"/>
  <c r="F149" i="34"/>
  <c r="F148" i="34"/>
  <c r="C37" i="34" l="1"/>
  <c r="C279" i="34"/>
  <c r="E42" i="34" l="1"/>
  <c r="E2" i="34"/>
  <c r="E41" i="34" l="1"/>
  <c r="E26" i="34"/>
  <c r="F40" i="34"/>
  <c r="F197" i="34" l="1"/>
  <c r="F198" i="34"/>
  <c r="F199" i="34"/>
  <c r="F200" i="34"/>
  <c r="F201" i="34"/>
  <c r="F202" i="34"/>
  <c r="F203" i="34"/>
  <c r="F204" i="34"/>
  <c r="F205" i="34"/>
  <c r="F206" i="34"/>
  <c r="F207" i="34"/>
  <c r="F208" i="34"/>
  <c r="F209" i="34"/>
  <c r="F210" i="34"/>
  <c r="F36" i="34" l="1"/>
  <c r="K31" i="6" l="1"/>
  <c r="L31" i="6"/>
  <c r="M31" i="6"/>
  <c r="F35" i="34" l="1"/>
  <c r="F34" i="34"/>
  <c r="F33" i="34"/>
  <c r="F32" i="34"/>
  <c r="F31" i="34"/>
  <c r="F30" i="34"/>
  <c r="F29" i="34"/>
  <c r="F224" i="34" l="1"/>
  <c r="C91" i="46" s="1"/>
  <c r="J17" i="32" l="1"/>
  <c r="J19" i="32" s="1"/>
  <c r="J24" i="32" s="1"/>
  <c r="J28" i="32" s="1"/>
  <c r="F133" i="34" l="1"/>
  <c r="F140" i="34" l="1"/>
  <c r="C90" i="46"/>
  <c r="H30" i="1" l="1"/>
  <c r="H9" i="1"/>
  <c r="I16" i="1" s="1"/>
  <c r="H31" i="1"/>
  <c r="J33" i="31" s="1"/>
  <c r="L33" i="31" s="1"/>
  <c r="H29" i="1"/>
  <c r="M11" i="37"/>
  <c r="M21" i="37"/>
  <c r="M32" i="37"/>
  <c r="O34" i="37"/>
  <c r="O15" i="37"/>
  <c r="M231" i="6"/>
  <c r="M40" i="37" s="1"/>
  <c r="M116" i="6"/>
  <c r="M22" i="37" s="1"/>
  <c r="K18" i="37" l="1"/>
  <c r="K36" i="37"/>
  <c r="O11" i="37"/>
  <c r="O21" i="37"/>
  <c r="M221" i="6"/>
  <c r="M223" i="6" s="1"/>
  <c r="M33" i="37" s="1"/>
  <c r="K223" i="6"/>
  <c r="K216" i="6"/>
  <c r="K209" i="6"/>
  <c r="M209" i="6"/>
  <c r="M31" i="37" s="1"/>
  <c r="M198" i="6"/>
  <c r="M199" i="6"/>
  <c r="K195" i="6"/>
  <c r="M124" i="6"/>
  <c r="M23" i="37" s="1"/>
  <c r="K92" i="6"/>
  <c r="K105" i="6" s="1"/>
  <c r="M92" i="6"/>
  <c r="M105" i="6" s="1"/>
  <c r="M20" i="37" s="1"/>
  <c r="M74" i="6"/>
  <c r="M75" i="6"/>
  <c r="K83" i="6"/>
  <c r="K26" i="6"/>
  <c r="M26" i="6"/>
  <c r="M10" i="37" s="1"/>
  <c r="K20" i="6"/>
  <c r="M20" i="6"/>
  <c r="M9" i="37" s="1"/>
  <c r="M8" i="37"/>
  <c r="M195" i="6"/>
  <c r="M29" i="37" s="1"/>
  <c r="M188" i="6"/>
  <c r="M28" i="37" s="1"/>
  <c r="M164" i="6"/>
  <c r="M142" i="6"/>
  <c r="M25" i="37" s="1"/>
  <c r="M132" i="6"/>
  <c r="M24" i="37" s="1"/>
  <c r="M70" i="6"/>
  <c r="M16" i="37" s="1"/>
  <c r="M64" i="6"/>
  <c r="M15" i="37" s="1"/>
  <c r="M58" i="6"/>
  <c r="M14" i="37" s="1"/>
  <c r="M52" i="6"/>
  <c r="M13" i="37" s="1"/>
  <c r="K38" i="37" l="1"/>
  <c r="K42" i="37" s="1"/>
  <c r="M26" i="37"/>
  <c r="J26" i="31"/>
  <c r="O10" i="37"/>
  <c r="O32" i="37"/>
  <c r="O29" i="37"/>
  <c r="O31" i="37"/>
  <c r="O33" i="37"/>
  <c r="O8" i="37"/>
  <c r="O17" i="37"/>
  <c r="O23" i="37"/>
  <c r="O20" i="37"/>
  <c r="M83" i="6"/>
  <c r="M17" i="37" s="1"/>
  <c r="M203" i="6"/>
  <c r="M30" i="37" s="1"/>
  <c r="L26" i="31" l="1"/>
  <c r="K203" i="6"/>
  <c r="L203" i="6"/>
  <c r="K64" i="6"/>
  <c r="O30" i="37" l="1"/>
  <c r="O24" i="37"/>
  <c r="K58" i="6"/>
  <c r="K52" i="6"/>
  <c r="K42" i="6" l="1"/>
  <c r="K35" i="6" s="1"/>
  <c r="C84" i="46" l="1"/>
  <c r="F234" i="34" l="1"/>
  <c r="F67" i="34" l="1"/>
  <c r="F307" i="34" l="1"/>
  <c r="F306" i="34"/>
  <c r="F142" i="34" l="1"/>
  <c r="F305" i="34"/>
  <c r="B9" i="1" l="1"/>
  <c r="D11" i="31" s="1"/>
  <c r="F304" i="34"/>
  <c r="B8" i="1" l="1"/>
  <c r="D10" i="31" s="1"/>
  <c r="F287" i="34"/>
  <c r="F283" i="34"/>
  <c r="C85" i="46" l="1"/>
  <c r="F223" i="34"/>
  <c r="F182" i="34" l="1"/>
  <c r="F240" i="34" l="1"/>
  <c r="O27" i="37" l="1"/>
  <c r="F181" i="34"/>
  <c r="F241" i="34"/>
  <c r="F239" i="34"/>
  <c r="F219" i="34" l="1"/>
  <c r="F220" i="34"/>
  <c r="F221" i="34"/>
  <c r="O14" i="37" l="1"/>
  <c r="O13" i="37"/>
  <c r="O16" i="37"/>
  <c r="O22" i="37"/>
  <c r="O40" i="37"/>
  <c r="O9" i="37"/>
  <c r="O25" i="37"/>
  <c r="O28" i="37"/>
  <c r="O26" i="37"/>
  <c r="F232" i="34"/>
  <c r="O12" i="37" l="1"/>
  <c r="O36" i="37"/>
  <c r="O18" i="37"/>
  <c r="C87" i="46"/>
  <c r="F257" i="34"/>
  <c r="O38" i="37" l="1"/>
  <c r="C88" i="46"/>
  <c r="E88" i="46" s="1"/>
  <c r="C98" i="46"/>
  <c r="M173" i="6"/>
  <c r="J27" i="31" s="1"/>
  <c r="K173" i="6"/>
  <c r="K164" i="6"/>
  <c r="M42" i="6"/>
  <c r="M35" i="6" s="1"/>
  <c r="M12" i="37" s="1"/>
  <c r="L27" i="31" l="1"/>
  <c r="J36" i="31"/>
  <c r="J37" i="31" s="1"/>
  <c r="O42" i="37"/>
  <c r="M27" i="37"/>
  <c r="M18" i="37"/>
  <c r="L37" i="31" l="1"/>
  <c r="L39" i="31" s="1"/>
  <c r="L41" i="31" s="1"/>
  <c r="L36" i="31"/>
  <c r="J39" i="31"/>
  <c r="J41" i="31" s="1"/>
  <c r="M36" i="37"/>
  <c r="M38" i="37" s="1"/>
  <c r="M42" i="37" s="1"/>
  <c r="F222" i="34" l="1"/>
  <c r="F225" i="34" l="1"/>
  <c r="F41" i="34" l="1"/>
  <c r="F254" i="34" l="1"/>
  <c r="C100" i="46" s="1"/>
  <c r="F58" i="34"/>
  <c r="F59" i="34"/>
  <c r="F60" i="34"/>
  <c r="F38" i="34"/>
  <c r="F270" i="34"/>
  <c r="F279" i="34"/>
  <c r="K237" i="6"/>
  <c r="K231" i="6"/>
  <c r="K188" i="6"/>
  <c r="K142" i="6"/>
  <c r="K132" i="6"/>
  <c r="K116" i="6"/>
  <c r="K70" i="6"/>
  <c r="K5" i="6"/>
  <c r="F331" i="34"/>
  <c r="F330" i="34"/>
  <c r="F194" i="34"/>
  <c r="F195" i="34"/>
  <c r="F44" i="34"/>
  <c r="F180" i="34"/>
  <c r="F107" i="34"/>
  <c r="F39" i="34"/>
  <c r="F37" i="34"/>
  <c r="F33" i="1"/>
  <c r="F16" i="1"/>
  <c r="F132" i="34"/>
  <c r="F131" i="34"/>
  <c r="I17" i="39"/>
  <c r="F256" i="34"/>
  <c r="C99" i="46" s="1"/>
  <c r="F70" i="34"/>
  <c r="H22" i="50"/>
  <c r="F52" i="34"/>
  <c r="F53" i="34"/>
  <c r="F90" i="34"/>
  <c r="F122" i="34"/>
  <c r="F179" i="34"/>
  <c r="F178" i="34"/>
  <c r="F118" i="34"/>
  <c r="F117" i="34"/>
  <c r="F66" i="34"/>
  <c r="F3" i="34"/>
  <c r="F188" i="34"/>
  <c r="F28" i="34"/>
  <c r="F177" i="34"/>
  <c r="F27" i="34"/>
  <c r="F247" i="34"/>
  <c r="F248" i="34"/>
  <c r="F176" i="34"/>
  <c r="F5" i="34"/>
  <c r="F226" i="34"/>
  <c r="F336" i="34"/>
  <c r="I33" i="1"/>
  <c r="G22" i="50"/>
  <c r="F346" i="34"/>
  <c r="E347" i="34"/>
  <c r="F245" i="34"/>
  <c r="F238" i="34"/>
  <c r="F214" i="34"/>
  <c r="D347" i="34"/>
  <c r="D356" i="34" s="1"/>
  <c r="F216" i="34"/>
  <c r="F237" i="34"/>
  <c r="F146" i="34"/>
  <c r="F297" i="34"/>
  <c r="F296" i="34"/>
  <c r="F294" i="34"/>
  <c r="F295" i="34"/>
  <c r="F26" i="34"/>
  <c r="F46" i="34"/>
  <c r="F50" i="34"/>
  <c r="F277" i="34"/>
  <c r="F158" i="34"/>
  <c r="F159" i="34"/>
  <c r="F160" i="34"/>
  <c r="F161" i="34"/>
  <c r="F174" i="34"/>
  <c r="F151" i="34"/>
  <c r="F152" i="34"/>
  <c r="F153" i="34"/>
  <c r="F154" i="34"/>
  <c r="F155" i="34"/>
  <c r="F156" i="34"/>
  <c r="F157" i="34"/>
  <c r="F162" i="34"/>
  <c r="F163" i="34"/>
  <c r="F164" i="34"/>
  <c r="F165" i="34"/>
  <c r="F166" i="34"/>
  <c r="F167" i="34"/>
  <c r="F168" i="34"/>
  <c r="F169" i="34"/>
  <c r="F170" i="34"/>
  <c r="F260" i="34"/>
  <c r="F261" i="34"/>
  <c r="F262" i="34"/>
  <c r="F173" i="34"/>
  <c r="F337" i="34"/>
  <c r="F215" i="34"/>
  <c r="F4" i="34"/>
  <c r="F6" i="34"/>
  <c r="F83" i="34"/>
  <c r="F312" i="34"/>
  <c r="F316" i="34"/>
  <c r="F326" i="34"/>
  <c r="F319" i="34"/>
  <c r="F317" i="34"/>
  <c r="F318" i="34"/>
  <c r="F327" i="34"/>
  <c r="F328" i="34"/>
  <c r="F313" i="34"/>
  <c r="F311" i="34"/>
  <c r="F315" i="34"/>
  <c r="F303" i="34"/>
  <c r="F302" i="34"/>
  <c r="F301" i="34"/>
  <c r="F299" i="34"/>
  <c r="F298" i="34"/>
  <c r="F333" i="34"/>
  <c r="F334" i="34"/>
  <c r="F335" i="34"/>
  <c r="F282" i="34"/>
  <c r="F339" i="34"/>
  <c r="F84" i="34"/>
  <c r="F309" i="34"/>
  <c r="F338" i="34"/>
  <c r="F343" i="34"/>
  <c r="F340" i="34"/>
  <c r="F54" i="34"/>
  <c r="F55" i="34"/>
  <c r="F57" i="34"/>
  <c r="F63" i="34"/>
  <c r="F68" i="34"/>
  <c r="F62" i="34"/>
  <c r="F56" i="34"/>
  <c r="F72" i="34"/>
  <c r="F73" i="34"/>
  <c r="F61" i="34"/>
  <c r="F64" i="34"/>
  <c r="F65" i="34"/>
  <c r="F69" i="34"/>
  <c r="F150" i="34"/>
  <c r="F74" i="34"/>
  <c r="F75" i="34"/>
  <c r="F127" i="34"/>
  <c r="F125" i="34"/>
  <c r="F126" i="34"/>
  <c r="F119" i="34"/>
  <c r="F123" i="34"/>
  <c r="F120" i="34"/>
  <c r="F121" i="34"/>
  <c r="F99" i="34"/>
  <c r="F78" i="34"/>
  <c r="F81" i="34"/>
  <c r="F82" i="34"/>
  <c r="F77" i="34"/>
  <c r="F80" i="34"/>
  <c r="F76" i="34"/>
  <c r="F79" i="34"/>
  <c r="F85" i="34"/>
  <c r="F87" i="34"/>
  <c r="F88" i="34"/>
  <c r="F341" i="34"/>
  <c r="F128" i="34"/>
  <c r="F94" i="34"/>
  <c r="F93" i="34"/>
  <c r="F89" i="34"/>
  <c r="F86" i="34"/>
  <c r="F92" i="34"/>
  <c r="F100" i="34"/>
  <c r="F95" i="34"/>
  <c r="F129" i="34"/>
  <c r="F263" i="34"/>
  <c r="F272" i="34"/>
  <c r="F273" i="34"/>
  <c r="F264" i="34"/>
  <c r="F265" i="34"/>
  <c r="F266" i="34"/>
  <c r="F267" i="34"/>
  <c r="F268" i="34"/>
  <c r="F271" i="34"/>
  <c r="F274" i="34"/>
  <c r="F275" i="34"/>
  <c r="F276" i="34"/>
  <c r="F175" i="34"/>
  <c r="F269" i="34"/>
  <c r="F278" i="34"/>
  <c r="F97" i="34"/>
  <c r="F171" i="34"/>
  <c r="F172" i="34"/>
  <c r="F71" i="34"/>
  <c r="F143" i="34"/>
  <c r="F138" i="34"/>
  <c r="F144" i="34"/>
  <c r="F145" i="34"/>
  <c r="F147" i="34"/>
  <c r="F98" i="34"/>
  <c r="F135" i="34"/>
  <c r="F139" i="34"/>
  <c r="F136" i="34"/>
  <c r="F141" i="34"/>
  <c r="F137" i="34"/>
  <c r="F102" i="34"/>
  <c r="F96" i="34"/>
  <c r="F103" i="34"/>
  <c r="F104" i="34"/>
  <c r="F105" i="34"/>
  <c r="F101" i="34"/>
  <c r="F111" i="34"/>
  <c r="F112" i="34"/>
  <c r="F110" i="34"/>
  <c r="F113" i="34"/>
  <c r="F114" i="34"/>
  <c r="F115" i="34"/>
  <c r="F116" i="34"/>
  <c r="F108" i="34"/>
  <c r="F106" i="34"/>
  <c r="F109" i="34"/>
  <c r="F130" i="34"/>
  <c r="F280" i="34"/>
  <c r="F281" i="34"/>
  <c r="F284" i="34"/>
  <c r="F285" i="34"/>
  <c r="F286" i="34"/>
  <c r="F290" i="34"/>
  <c r="F291" i="34"/>
  <c r="F292" i="34"/>
  <c r="F293" i="34"/>
  <c r="F344" i="34"/>
  <c r="I26" i="39"/>
  <c r="F47" i="34"/>
  <c r="F342" i="34"/>
  <c r="F320" i="34"/>
  <c r="C34" i="43"/>
  <c r="C37" i="43" s="1"/>
  <c r="C39" i="43" s="1"/>
  <c r="F314" i="34"/>
  <c r="F288" i="34"/>
  <c r="F289" i="34"/>
  <c r="F9" i="34"/>
  <c r="F45" i="34"/>
  <c r="F24" i="34"/>
  <c r="F15" i="34"/>
  <c r="F25" i="34"/>
  <c r="F23" i="34"/>
  <c r="F10" i="34"/>
  <c r="F18" i="34"/>
  <c r="F17" i="34"/>
  <c r="F51" i="34"/>
  <c r="F19" i="34"/>
  <c r="F22" i="34"/>
  <c r="F42" i="34"/>
  <c r="H10" i="32"/>
  <c r="F321" i="34"/>
  <c r="F322" i="34"/>
  <c r="F323" i="34"/>
  <c r="F324" i="34"/>
  <c r="F325" i="34"/>
  <c r="F310" i="34"/>
  <c r="F308" i="34"/>
  <c r="F236" i="34"/>
  <c r="F20" i="34"/>
  <c r="F21" i="34"/>
  <c r="F43" i="34"/>
  <c r="F49" i="34"/>
  <c r="F8" i="34"/>
  <c r="F246" i="34"/>
  <c r="F235" i="34"/>
  <c r="F213" i="34"/>
  <c r="F227" i="34"/>
  <c r="F228" i="34"/>
  <c r="F229" i="34"/>
  <c r="F230" i="34"/>
  <c r="F231" i="34"/>
  <c r="F233" i="34"/>
  <c r="F242" i="34"/>
  <c r="F243" i="34"/>
  <c r="F244" i="34"/>
  <c r="F249" i="34"/>
  <c r="F250" i="34"/>
  <c r="C96" i="46" s="1"/>
  <c r="F251" i="34"/>
  <c r="F252" i="34"/>
  <c r="F253" i="34"/>
  <c r="F255" i="34"/>
  <c r="F258" i="34"/>
  <c r="C97" i="46" s="1"/>
  <c r="F259" i="34"/>
  <c r="F187" i="34"/>
  <c r="F345" i="34"/>
  <c r="F332" i="34"/>
  <c r="F329" i="34"/>
  <c r="F300" i="34"/>
  <c r="F218" i="34"/>
  <c r="F217" i="34"/>
  <c r="F212" i="34"/>
  <c r="F211" i="34"/>
  <c r="F196" i="34"/>
  <c r="F193" i="34"/>
  <c r="F192" i="34"/>
  <c r="F191" i="34"/>
  <c r="F190" i="34"/>
  <c r="F189" i="34"/>
  <c r="F186" i="34"/>
  <c r="F185" i="34"/>
  <c r="F184" i="34"/>
  <c r="F183" i="34"/>
  <c r="F134" i="34"/>
  <c r="F124" i="34"/>
  <c r="F91" i="34"/>
  <c r="F48" i="34"/>
  <c r="F14" i="34"/>
  <c r="F13" i="34"/>
  <c r="F12" i="34"/>
  <c r="F11" i="34"/>
  <c r="F7" i="34"/>
  <c r="A28" i="41"/>
  <c r="A26" i="41"/>
  <c r="A24" i="41"/>
  <c r="E348" i="34"/>
  <c r="F2" i="34"/>
  <c r="C347" i="34"/>
  <c r="F16" i="34"/>
  <c r="B29" i="1" l="1"/>
  <c r="D31" i="31" s="1"/>
  <c r="B10" i="1"/>
  <c r="E89" i="46"/>
  <c r="E90" i="46" s="1"/>
  <c r="B32" i="1"/>
  <c r="B30" i="1"/>
  <c r="D32" i="31" s="1"/>
  <c r="B26" i="1"/>
  <c r="B19" i="1"/>
  <c r="E10" i="39"/>
  <c r="C95" i="46"/>
  <c r="F34" i="1"/>
  <c r="F37" i="1" s="1"/>
  <c r="F43" i="1" s="1"/>
  <c r="C92" i="46"/>
  <c r="B22" i="1"/>
  <c r="I34" i="1"/>
  <c r="I37" i="1" s="1"/>
  <c r="I43" i="1" s="1"/>
  <c r="C356" i="34"/>
  <c r="C349" i="34"/>
  <c r="J4" i="34"/>
  <c r="H16" i="32"/>
  <c r="D349" i="34"/>
  <c r="F347" i="34"/>
  <c r="B14" i="1" l="1"/>
  <c r="B12" i="1"/>
  <c r="B6" i="1"/>
  <c r="D21" i="31"/>
  <c r="B15" i="1"/>
  <c r="B28" i="1"/>
  <c r="B20" i="1"/>
  <c r="D28" i="31"/>
  <c r="D24" i="31"/>
  <c r="E20" i="39"/>
  <c r="B24" i="1"/>
  <c r="C101" i="46"/>
  <c r="B27" i="1"/>
  <c r="B23" i="1"/>
  <c r="B21" i="1"/>
  <c r="C36" i="1"/>
  <c r="C15" i="39"/>
  <c r="E349" i="34"/>
  <c r="B13" i="1" l="1"/>
  <c r="D16" i="31"/>
  <c r="D22" i="31"/>
  <c r="B18" i="1"/>
  <c r="B11" i="1"/>
  <c r="B7" i="1"/>
  <c r="D27" i="31"/>
  <c r="B25" i="1"/>
  <c r="D30" i="31"/>
  <c r="D25" i="31"/>
  <c r="D8" i="31"/>
  <c r="D23" i="31"/>
  <c r="D29" i="31"/>
  <c r="H23" i="32"/>
  <c r="D26" i="31"/>
  <c r="D17" i="31"/>
  <c r="C13" i="39"/>
  <c r="E17" i="39" s="1"/>
  <c r="H15" i="32"/>
  <c r="H17" i="32" s="1"/>
  <c r="H19" i="32" s="1"/>
  <c r="C25" i="39"/>
  <c r="E26" i="39" s="1"/>
  <c r="D14" i="31"/>
  <c r="D40" i="31"/>
  <c r="I18" i="39"/>
  <c r="I22" i="39" l="1"/>
  <c r="I28" i="39" s="1"/>
  <c r="I33" i="39" s="1"/>
  <c r="I34" i="39" s="1"/>
  <c r="E32" i="39" s="1"/>
  <c r="D9" i="31"/>
  <c r="D15" i="31"/>
  <c r="D13" i="31"/>
  <c r="D20" i="31"/>
  <c r="H24" i="32"/>
  <c r="H28" i="32" s="1"/>
  <c r="C16" i="1"/>
  <c r="D12" i="31"/>
  <c r="D18" i="31" l="1"/>
  <c r="E31" i="31" l="1"/>
  <c r="E32" i="31"/>
  <c r="E27" i="31"/>
  <c r="E10" i="31"/>
  <c r="E11" i="31"/>
  <c r="E15" i="31"/>
  <c r="E34" i="31"/>
  <c r="E16" i="31"/>
  <c r="E24" i="31"/>
  <c r="E8" i="31"/>
  <c r="E28" i="31"/>
  <c r="E13" i="31"/>
  <c r="E29" i="31"/>
  <c r="E23" i="31"/>
  <c r="E9" i="31"/>
  <c r="E22" i="31"/>
  <c r="E26" i="31"/>
  <c r="E40" i="31"/>
  <c r="E12" i="31"/>
  <c r="E30" i="31"/>
  <c r="E20" i="31"/>
  <c r="E14" i="31"/>
  <c r="E17" i="31"/>
  <c r="E25" i="31"/>
  <c r="E21" i="31"/>
  <c r="B31" i="1"/>
  <c r="C33" i="1" l="1"/>
  <c r="E18" i="31"/>
  <c r="C34" i="1" l="1"/>
  <c r="C37" i="1" s="1"/>
  <c r="C43" i="1" s="1"/>
  <c r="D33" i="31"/>
  <c r="E33" i="31" s="1"/>
  <c r="E36" i="31" s="1"/>
  <c r="D36" i="31" l="1"/>
  <c r="D37" i="31" s="1"/>
  <c r="D39" i="31" s="1"/>
  <c r="E37" i="31" l="1"/>
  <c r="E39" i="31" s="1"/>
  <c r="E41" i="31" s="1"/>
  <c r="E7" i="39"/>
  <c r="E18" i="39" s="1"/>
  <c r="E22" i="39" s="1"/>
  <c r="E28" i="39" s="1"/>
  <c r="E33" i="39" s="1"/>
  <c r="E34" i="39" s="1"/>
  <c r="D41" i="31"/>
  <c r="F21" i="50" s="1"/>
  <c r="F22" i="50" s="1"/>
</calcChain>
</file>

<file path=xl/sharedStrings.xml><?xml version="1.0" encoding="utf-8"?>
<sst xmlns="http://schemas.openxmlformats.org/spreadsheetml/2006/main" count="1313" uniqueCount="715">
  <si>
    <t xml:space="preserve">De NTB stelt zich ten doel het (doen) bevorderen van de beoefening en het organiseren van de </t>
  </si>
  <si>
    <r>
      <t>triatlonsport en van andere vormen van combi</t>
    </r>
    <r>
      <rPr>
        <b/>
        <sz val="11"/>
        <rFont val="Times New Roman"/>
        <family val="1"/>
      </rPr>
      <t>-</t>
    </r>
    <r>
      <rPr>
        <sz val="11"/>
        <rFont val="Times New Roman"/>
        <family val="1"/>
      </rPr>
      <t>duursportbeoefening (verder aan te duiden als:</t>
    </r>
  </si>
  <si>
    <t>triatlonsport), alsmede het behartigen van de belangen van haar leden.</t>
  </si>
  <si>
    <t>Vaststelling subsidie voorgaand boekjaar</t>
  </si>
  <si>
    <t>Breedtesportprojecten/PR</t>
  </si>
  <si>
    <t>Eigen bijdrage atleten/RTC atleten</t>
  </si>
  <si>
    <t>Bestemmingsreserve</t>
  </si>
  <si>
    <t>Statutaire doelstelling</t>
  </si>
  <si>
    <t>In artikel 2 van de statuten wordt de doelstelling van de vereniging als volgt omschreven:</t>
  </si>
  <si>
    <t>Ledenoverzicht</t>
  </si>
  <si>
    <t>Het verloop van de ledenstand is als volgt:</t>
  </si>
  <si>
    <t>Bij: nieuwe leden</t>
  </si>
  <si>
    <t>Af: opzeggingen</t>
  </si>
  <si>
    <t>Het resultaat wordt bepaald als zijnde het verschil tussen de baten verminderd met alle hiermee</t>
  </si>
  <si>
    <t xml:space="preserve">verbonden, aan het verslagjaar toe te rekenen lasten. </t>
  </si>
  <si>
    <t>De baten bestaan uit de inkomsten van de in het jaar aan derden geleverde goederen en diensten onder</t>
  </si>
  <si>
    <t>Subsidies worden toegerekend aan de periode waarvoor ze zijn toegekend door de subsidiënten.</t>
  </si>
  <si>
    <t>Grondslagen voor het kasstroomoverzicht</t>
  </si>
  <si>
    <t>Het kasstroomoverzicht is opgesteld volgens de indirecte methode. De geldmiddelen in het</t>
  </si>
  <si>
    <t>operationele activiteiten.</t>
  </si>
  <si>
    <t>Inhoud</t>
  </si>
  <si>
    <t>Pagina</t>
  </si>
  <si>
    <t>Bestuursverslag</t>
  </si>
  <si>
    <t>1    Algemeen</t>
  </si>
  <si>
    <t xml:space="preserve">Ter verkrijging van inzicht in de financiële positie van de bond verstrekken wij u het navolgende </t>
  </si>
  <si>
    <t>overzicht. Dit is gebaseerd op de gegevens uit de jaarrekening. Wij geven hierna een opstelling van</t>
  </si>
  <si>
    <t>Prijzen/kosten wintercircuit</t>
  </si>
  <si>
    <t>Kasstroomoverzicht</t>
  </si>
  <si>
    <t>Kasstroom uit operationele activiteiten</t>
  </si>
  <si>
    <t>Aanpassingen voor:</t>
  </si>
  <si>
    <t xml:space="preserve">Afschrijvingen </t>
  </si>
  <si>
    <t>Verandering in werkkapitaal:</t>
  </si>
  <si>
    <t>Kortlopende schulden (exclusief</t>
  </si>
  <si>
    <t>banken)</t>
  </si>
  <si>
    <t>Kasstroom uit bedrijfsoperaties</t>
  </si>
  <si>
    <t>Ontvangen interest</t>
  </si>
  <si>
    <t>Kasstroom uit investeringsactiviteiten</t>
  </si>
  <si>
    <t>Investeringen materiële vaste activa</t>
  </si>
  <si>
    <t>Toe-/afname geldmiddelen</t>
  </si>
  <si>
    <t>Het verloop van de geldmiddelen is als volgt:</t>
  </si>
  <si>
    <t>Mutatie boekjaar</t>
  </si>
  <si>
    <t>Grondslagen van de financiële verslaggeving</t>
  </si>
  <si>
    <t>Algemeen</t>
  </si>
  <si>
    <t>Deze jaarrekening is opgesteld in overeenstemming met de Richtlijn voor de jaarverslaggeving 640</t>
  </si>
  <si>
    <t>'Organisaties zonder winststreven'.</t>
  </si>
  <si>
    <t>Vergelijkende cijfers</t>
  </si>
  <si>
    <t>maken.</t>
  </si>
  <si>
    <t>Grondslagen voor de waardering van activa en passiva</t>
  </si>
  <si>
    <t xml:space="preserve">beoordeling van de voorraden. De netto-opbrengstwaarde is gebaseerd op een verwachte verkoopprijs, </t>
  </si>
  <si>
    <t>onder aftrek van nog te maken kosten voor voltooiing en verkoop.</t>
  </si>
  <si>
    <t>Grondslagen voor resultaatbepaling</t>
  </si>
  <si>
    <t>§</t>
  </si>
  <si>
    <t>Eigen bijdrage atleten/Stage Sittard atleten</t>
  </si>
  <si>
    <t>Kostpijs verkopen</t>
  </si>
  <si>
    <t>Omzet Kleding</t>
  </si>
  <si>
    <t>Breedtesportprojecten/Duathlon</t>
  </si>
  <si>
    <t>2    Resultatenanalyse</t>
  </si>
  <si>
    <t>3    Financiële positie</t>
  </si>
  <si>
    <t>Jaarrekening</t>
  </si>
  <si>
    <t>Overige gegevens</t>
  </si>
  <si>
    <t>Bijlagen</t>
  </si>
  <si>
    <t>Specificatie van de materiële vaste activa</t>
  </si>
  <si>
    <t>Overzicht subsidie NOC*NSF</t>
  </si>
  <si>
    <t>4    Resultaten analyse per Q</t>
  </si>
  <si>
    <t>Prijzen/kosten Para triathlon</t>
  </si>
  <si>
    <t>Zwemaccomodatie RTC</t>
  </si>
  <si>
    <t>Matriaalkosten RTC</t>
  </si>
  <si>
    <t>ASR/Para subsidie</t>
  </si>
  <si>
    <t>Voorraden Kiwami Kleding</t>
  </si>
  <si>
    <t>Bestemmings reserve</t>
  </si>
  <si>
    <t>Vorderingen Topsport</t>
  </si>
  <si>
    <t>Vooruitbetaald Topsport</t>
  </si>
  <si>
    <t>Voor zover niet anders is vermeld, worden activa en passiva opgenomen tegen nominale waarde.</t>
  </si>
  <si>
    <t>Eigen bijdrage atleten/2020 WC Wedstrijden</t>
  </si>
  <si>
    <t>RTC Almere/Flevoland</t>
  </si>
  <si>
    <t>Breedtesportprojecten/Agegroup</t>
  </si>
  <si>
    <t>Betalingen onderweg</t>
  </si>
  <si>
    <t>Eigen bijdrage atleten/Stage St. Raphael</t>
  </si>
  <si>
    <t>Zwemaccommodatie/Stage</t>
  </si>
  <si>
    <t>Salariskosten extern</t>
  </si>
  <si>
    <t>Prijzen/kosten regionale circuit</t>
  </si>
  <si>
    <t>Breedtesportprojecten/CONGRES</t>
  </si>
  <si>
    <t>Medische coordinator</t>
  </si>
  <si>
    <t>Specialisten en adviseurs</t>
  </si>
  <si>
    <t>Reiskosten sporters/ITU Wedstrijden</t>
  </si>
  <si>
    <t>NOC Evenementen</t>
  </si>
  <si>
    <t>VWS Talentontwikkeling</t>
  </si>
  <si>
    <t>Overige baten bondsblad</t>
  </si>
  <si>
    <t>Eigen bijdrage atleten/Eilat</t>
  </si>
  <si>
    <t>Ondersteuning organisaties en samenwerking</t>
  </si>
  <si>
    <t>Onvoorzien</t>
  </si>
  <si>
    <t>Werkgroep Breedtesport</t>
  </si>
  <si>
    <t>Reiskosten sporters/Trainingsw Duathlon</t>
  </si>
  <si>
    <t>Flevoland Provincie+Almere</t>
  </si>
  <si>
    <t>RTC Almere</t>
  </si>
  <si>
    <t>Reiskosten sporters/2016 ETU cup</t>
  </si>
  <si>
    <t>Fychiotherapie NTC</t>
  </si>
  <si>
    <t>Doorbelasting bondsblad</t>
  </si>
  <si>
    <t>Podologisch onderzoek</t>
  </si>
  <si>
    <t>Inpanningstesten en controletesten</t>
  </si>
  <si>
    <t>Trainers talentherkenning</t>
  </si>
  <si>
    <t>Eigen bijdrage atleten/Stage Font</t>
  </si>
  <si>
    <t>Eigen bijdrage atleten/Trainingsw</t>
  </si>
  <si>
    <t>Inkomsten/bijdrage circuits</t>
  </si>
  <si>
    <t>Jubileum Reservering</t>
  </si>
  <si>
    <t>Eigen bijdrage atleten/WK DU KO</t>
  </si>
  <si>
    <t>Jubileumkosten</t>
  </si>
  <si>
    <t>Accountantskosten nog te betalen</t>
  </si>
  <si>
    <t>Sudsidie NTC</t>
  </si>
  <si>
    <t>Inkomsten uit sponsoring</t>
  </si>
  <si>
    <t>Bijdrage Mediafonds</t>
  </si>
  <si>
    <t>Rente</t>
  </si>
  <si>
    <t>Memoboekingen</t>
  </si>
  <si>
    <t>Boekingsverschillen</t>
  </si>
  <si>
    <t>Per saldo</t>
  </si>
  <si>
    <t>Doorbelaste personeelskosten BS</t>
  </si>
  <si>
    <t>Doorbelaste personeelskosten TS</t>
  </si>
  <si>
    <t>Kruisposten</t>
  </si>
  <si>
    <t>Tussenrekening lonen</t>
  </si>
  <si>
    <t>Tussenrekening prijzengelden</t>
  </si>
  <si>
    <t>Tussenrekening inschrijfgeld</t>
  </si>
  <si>
    <t>Tussenrekening contributies</t>
  </si>
  <si>
    <t>Vraagposten</t>
  </si>
  <si>
    <t>Ouderschapsverlof</t>
  </si>
  <si>
    <t>Lidmaatschappen</t>
  </si>
  <si>
    <t>Project marketing</t>
  </si>
  <si>
    <t>Kosten Speaker cursuc</t>
  </si>
  <si>
    <t>Inkomsten trainers opleidingen</t>
  </si>
  <si>
    <t>Disipline trainers NTC</t>
  </si>
  <si>
    <t>Totaal</t>
  </si>
  <si>
    <t xml:space="preserve">Loonheffing </t>
  </si>
  <si>
    <t>Medailles NTB-evenementen</t>
  </si>
  <si>
    <t>Prijzen/kosten Duatloncircuit</t>
  </si>
  <si>
    <t>Prijzen/kosten verenigingscircuit</t>
  </si>
  <si>
    <t>Public Relations</t>
  </si>
  <si>
    <t>Kosten NTB-website</t>
  </si>
  <si>
    <t>Persvoorlichter</t>
  </si>
  <si>
    <t>Kosten bondsblad TS1</t>
  </si>
  <si>
    <t>Kosten bondsblad TS2</t>
  </si>
  <si>
    <t>Directe kosten leden/ver/org</t>
  </si>
  <si>
    <t>Inkopen</t>
  </si>
  <si>
    <t>Kosten verenigingsondersteuningsprojecte</t>
  </si>
  <si>
    <t>Triathlon Zuil</t>
  </si>
  <si>
    <t>Afschrijvingskosten</t>
  </si>
  <si>
    <t>Cursus/bijscholing kader</t>
  </si>
  <si>
    <t>Binnenhal / krachtcentrum</t>
  </si>
  <si>
    <t>Huisvesting NTC</t>
  </si>
  <si>
    <t>TV en Internet NTC</t>
  </si>
  <si>
    <t>Inkomsten TTN3 -opleiding</t>
  </si>
  <si>
    <t>Kosten opleiding Jury A</t>
  </si>
  <si>
    <t>Kosten opleiding NG</t>
  </si>
  <si>
    <t>Overige kosten kader/desk.bevordering</t>
  </si>
  <si>
    <t>Fietsmeting en overige testen OD/NTC/TO</t>
  </si>
  <si>
    <t>Fietsmeting en overige testen LA</t>
  </si>
  <si>
    <t>Zwemaccommodatie</t>
  </si>
  <si>
    <t>Atletiekaccommodatie</t>
  </si>
  <si>
    <t>Wielerbaan</t>
  </si>
  <si>
    <t>Lidmaatschappen Unitas/TV Stein</t>
  </si>
  <si>
    <t>Water NTC</t>
  </si>
  <si>
    <t>Overige kosten NTC</t>
  </si>
  <si>
    <t>Materiaalkosten OD/NTC/TO</t>
  </si>
  <si>
    <t>VWS NASB</t>
  </si>
  <si>
    <t>Teveel ontvangen subsidie VWS</t>
  </si>
  <si>
    <t>Overige lasten</t>
  </si>
  <si>
    <t xml:space="preserve">Topsport en medisch </t>
  </si>
  <si>
    <t>Kosten circuits</t>
  </si>
  <si>
    <t>Medailles</t>
  </si>
  <si>
    <t>Rentelasten</t>
  </si>
  <si>
    <t>Rente spaarrekeningen</t>
  </si>
  <si>
    <t>Bankrente en kosten</t>
  </si>
  <si>
    <t>Deelname ETU/ITU-congressen</t>
  </si>
  <si>
    <t>Rek.nr</t>
  </si>
  <si>
    <t>Rekeningnaam</t>
  </si>
  <si>
    <t>Debet Eur</t>
  </si>
  <si>
    <t>Credit Eur</t>
  </si>
  <si>
    <t>VJP's</t>
  </si>
  <si>
    <t>Inventaris</t>
  </si>
  <si>
    <t>Afschrijvingen inventaris</t>
  </si>
  <si>
    <t>Voorraden</t>
  </si>
  <si>
    <t>Algemene reserve</t>
  </si>
  <si>
    <t>Vakantiegeldverplichtingen</t>
  </si>
  <si>
    <t>Bank</t>
  </si>
  <si>
    <t>Spaarrekening Bank</t>
  </si>
  <si>
    <t>Giro</t>
  </si>
  <si>
    <t>Borg Juryjacks</t>
  </si>
  <si>
    <t>Waarborgsom huur</t>
  </si>
  <si>
    <t>12 :</t>
  </si>
  <si>
    <t>Debiteuren</t>
  </si>
  <si>
    <t>Voorziening dubieuwe debiteuren</t>
  </si>
  <si>
    <t>Vooruitbetaalde bedragen</t>
  </si>
  <si>
    <t>Schulden Topsport</t>
  </si>
  <si>
    <t>Vooruitontvangen bedragen</t>
  </si>
  <si>
    <t>Te verrekenen subsidie</t>
  </si>
  <si>
    <t>17 :</t>
  </si>
  <si>
    <t>Afdrachten belastingdienst</t>
  </si>
  <si>
    <t>Fietsplan</t>
  </si>
  <si>
    <t>Tussenrekening spaarloon</t>
  </si>
  <si>
    <t>Tussenrekening PGGM</t>
  </si>
  <si>
    <t>Brutosalarissen</t>
  </si>
  <si>
    <t>ZKV</t>
  </si>
  <si>
    <t>Pensioenpremie</t>
  </si>
  <si>
    <t>Loonheffing werkgever</t>
  </si>
  <si>
    <t>Kosten woon-werkvervoer</t>
  </si>
  <si>
    <t>Opbouw vakantietoeslag</t>
  </si>
  <si>
    <t>Ziektegeld</t>
  </si>
  <si>
    <t>Cursuskosten personeel</t>
  </si>
  <si>
    <t>Huisvesting (huur/servicekosten)</t>
  </si>
  <si>
    <t>Kantoorartikelen</t>
  </si>
  <si>
    <t>Telefoonkosten</t>
  </si>
  <si>
    <t>Portokosten</t>
  </si>
  <si>
    <t>Overige kosten bondsblad</t>
  </si>
  <si>
    <t>Breedtesportprojecten/TOP 10</t>
  </si>
  <si>
    <t>Breedtesportprojecten/ACCOUNTMAN</t>
  </si>
  <si>
    <t>Breedtesportprojecten/TALENTONTW</t>
  </si>
  <si>
    <t>Breedtesportprojecten/OFFROAD</t>
  </si>
  <si>
    <t>Loon technisch directeur</t>
  </si>
  <si>
    <t>Onkosten technisch directeur</t>
  </si>
  <si>
    <t>Loon bondscoach</t>
  </si>
  <si>
    <t>Onkosten bondscoach</t>
  </si>
  <si>
    <t>Loon talentcoach</t>
  </si>
  <si>
    <t>Onkosten talentcoach</t>
  </si>
  <si>
    <t>Medewerkers bondsbureau</t>
  </si>
  <si>
    <t>Kleding official</t>
  </si>
  <si>
    <t>Som der baten</t>
  </si>
  <si>
    <t>Afschrijvingen materiële vaste activa</t>
  </si>
  <si>
    <t>Som der lasten</t>
  </si>
  <si>
    <t>Uitkomst der financiële baten en lasten</t>
  </si>
  <si>
    <t>Stand per 1 januari</t>
  </si>
  <si>
    <t>Overige vorderingen</t>
  </si>
  <si>
    <t>Kas</t>
  </si>
  <si>
    <t>Stand per 31 december</t>
  </si>
  <si>
    <t>Overige schulden</t>
  </si>
  <si>
    <t>Verenigingsleden</t>
  </si>
  <si>
    <t>Individuele leden</t>
  </si>
  <si>
    <t>D-licentiehouders</t>
  </si>
  <si>
    <t>Verenigingen</t>
  </si>
  <si>
    <t>Organisaties</t>
  </si>
  <si>
    <t>Provincie Limburg</t>
  </si>
  <si>
    <t>Bijdrage grote evenementen</t>
  </si>
  <si>
    <t>Organisatievergunningen</t>
  </si>
  <si>
    <t>Contributies individuele leden</t>
  </si>
  <si>
    <t>Contributies verenigingsleden</t>
  </si>
  <si>
    <t>Contributie verenigingen</t>
  </si>
  <si>
    <t>Contributie organisaties</t>
  </si>
  <si>
    <t>Inkomsten NK's &amp; Elitewedstrijden</t>
  </si>
  <si>
    <t>Contributie D-licenties</t>
  </si>
  <si>
    <t>Stimuleringssubsidie</t>
  </si>
  <si>
    <t>Subsidies VWS Topsport</t>
  </si>
  <si>
    <t>Abonnementsgelden bondsblad</t>
  </si>
  <si>
    <t>Advertentieopbrengst TS1</t>
  </si>
  <si>
    <t>Liquide middelen</t>
  </si>
  <si>
    <t>Eigen vermogen</t>
  </si>
  <si>
    <t>Kortlopende schulden</t>
  </si>
  <si>
    <t>Overige schulden en overlopende passiva</t>
  </si>
  <si>
    <t>Overige vorderingen en overlopende activa</t>
  </si>
  <si>
    <t>Vorderingen</t>
  </si>
  <si>
    <t>€</t>
  </si>
  <si>
    <t>Crediteuren</t>
  </si>
  <si>
    <t>Resultaatbestemming</t>
  </si>
  <si>
    <t>Rentebaten</t>
  </si>
  <si>
    <t>Accountantskosten</t>
  </si>
  <si>
    <t>Drukwerk</t>
  </si>
  <si>
    <t>Verzekeringen</t>
  </si>
  <si>
    <t>Overige algemene kosten</t>
  </si>
  <si>
    <t>Reiskostenvergoeding</t>
  </si>
  <si>
    <t>Materiële vaste activa</t>
  </si>
  <si>
    <t>Afschrijvingen</t>
  </si>
  <si>
    <t>Contributies</t>
  </si>
  <si>
    <t>Personeelskosten</t>
  </si>
  <si>
    <t>Algemene kosten</t>
  </si>
  <si>
    <t>Lonen en salarissen</t>
  </si>
  <si>
    <t>Overige personeelskosten</t>
  </si>
  <si>
    <t>Overige huisvestingskosten</t>
  </si>
  <si>
    <t>Sociale lasten</t>
  </si>
  <si>
    <t>Toelichting op de staat van baten en lasten</t>
  </si>
  <si>
    <t>Resultatenanalyse</t>
  </si>
  <si>
    <t>%</t>
  </si>
  <si>
    <t>Subsidies</t>
  </si>
  <si>
    <t>Inkomsten evenementen</t>
  </si>
  <si>
    <t>Deelnemersafdrachten</t>
  </si>
  <si>
    <t>Bondsorgaan</t>
  </si>
  <si>
    <t>Overige baten</t>
  </si>
  <si>
    <t>Kosten kopieerapparaat</t>
  </si>
  <si>
    <t>Automatiseringskosten</t>
  </si>
  <si>
    <t>Kosten betalingsverkeer</t>
  </si>
  <si>
    <t>Juridische adviezen/bijstand</t>
  </si>
  <si>
    <t>Kosten hoofdbestuur</t>
  </si>
  <si>
    <t>Kosten Triraad</t>
  </si>
  <si>
    <t>Kosten internationale congressen</t>
  </si>
  <si>
    <t>Functioneringskosten Bondsbureau</t>
  </si>
  <si>
    <t>Kantinekosten</t>
  </si>
  <si>
    <t>Lidmaatschap nationale sportorganisaties</t>
  </si>
  <si>
    <t>Lidmaatschap internationale sportorganis</t>
  </si>
  <si>
    <t>Kosten Stichting Promotie NTB</t>
  </si>
  <si>
    <t>Werkgroep Wedstrijdofficials</t>
  </si>
  <si>
    <t>Werkgroep Topsport</t>
  </si>
  <si>
    <t>Verzekeringen NTB-evenementen</t>
  </si>
  <si>
    <t>Kosten Officials NTB-evenementen</t>
  </si>
  <si>
    <t>NG-kosten</t>
  </si>
  <si>
    <t>Kosten overige officialactiviteiten</t>
  </si>
  <si>
    <t>Huisvestingskosten</t>
  </si>
  <si>
    <t>PR en communicatie</t>
  </si>
  <si>
    <t>Kantoorkosten</t>
  </si>
  <si>
    <t>Breedtesport</t>
  </si>
  <si>
    <t>Evenementen en verzekeringen</t>
  </si>
  <si>
    <t>Kader</t>
  </si>
  <si>
    <t>Lasten</t>
  </si>
  <si>
    <t>Bedrijfsresultaat</t>
  </si>
  <si>
    <t>Financiële baten en lasten</t>
  </si>
  <si>
    <t>Resultaat</t>
  </si>
  <si>
    <t>Financiële positie</t>
  </si>
  <si>
    <t>Analyse van de financiële positie</t>
  </si>
  <si>
    <t>Op korte termijn beschikbaar</t>
  </si>
  <si>
    <t>Werkkapitaal</t>
  </si>
  <si>
    <t>Vastgelegd op lange termijn</t>
  </si>
  <si>
    <t>Gefinancierd met op lange termijn beschikbare middelen</t>
  </si>
  <si>
    <t>Financiering</t>
  </si>
  <si>
    <t>Inventaris / apparatuur</t>
  </si>
  <si>
    <t>Overige reserve</t>
  </si>
  <si>
    <t>Belastingen en premies sociale</t>
  </si>
  <si>
    <t>Abonnementen</t>
  </si>
  <si>
    <t>Advertenties</t>
  </si>
  <si>
    <t xml:space="preserve">Overige baten </t>
  </si>
  <si>
    <t>Verzekeringen personeel</t>
  </si>
  <si>
    <t>Huur</t>
  </si>
  <si>
    <t xml:space="preserve">Huisvestingskosten </t>
  </si>
  <si>
    <t>Automatisering</t>
  </si>
  <si>
    <t>Bondsbestuur</t>
  </si>
  <si>
    <t>Lidmaatschap overkoepelende organisaties</t>
  </si>
  <si>
    <t>Juridisch advies</t>
  </si>
  <si>
    <t>Reiskosten sporters/Stage FF</t>
  </si>
  <si>
    <t>Eigen bijdrage atleten/Weekend</t>
  </si>
  <si>
    <t>Verschil</t>
  </si>
  <si>
    <t>Breedtesportprojecten</t>
  </si>
  <si>
    <t>Eigen bijdrage atleten/Stage FF</t>
  </si>
  <si>
    <t xml:space="preserve">Promotie </t>
  </si>
  <si>
    <t>Kosten evenementen Eredivisie</t>
  </si>
  <si>
    <t>Eredivisie</t>
  </si>
  <si>
    <t xml:space="preserve"> </t>
  </si>
  <si>
    <t>Kosten evenementen</t>
  </si>
  <si>
    <t>Para</t>
  </si>
  <si>
    <t>rubriek_jrk</t>
  </si>
  <si>
    <t>Eindtotaal</t>
  </si>
  <si>
    <t>Gegevens</t>
  </si>
  <si>
    <t>Som van Debet Eur</t>
  </si>
  <si>
    <t>Som van Credit Eur</t>
  </si>
  <si>
    <t>Som van VJP's</t>
  </si>
  <si>
    <t>Som van §</t>
  </si>
  <si>
    <t xml:space="preserve">Prijzen/kosten </t>
  </si>
  <si>
    <t>Eigen bijdrage atleten/ETU Cup</t>
  </si>
  <si>
    <t>Rubriek</t>
  </si>
  <si>
    <t xml:space="preserve">Eigen bijdrage atleten/EK DU </t>
  </si>
  <si>
    <t>Reiskosten sporters/EK023</t>
  </si>
  <si>
    <t>Eigen bijdrage atleten/WK DU Nancy</t>
  </si>
  <si>
    <t>Reiskosten sporters/EK DU LA</t>
  </si>
  <si>
    <t>Reiskosten sporters/ WK Duathlotn Zofingen</t>
  </si>
  <si>
    <t>Reiskosten sporters/Stage Junioren</t>
  </si>
  <si>
    <t>Stage</t>
  </si>
  <si>
    <t>Wedstrijd</t>
  </si>
  <si>
    <t>jaarrek wedstrijd en stage</t>
  </si>
  <si>
    <t>Eigen bijdrage atleten/2020 WC Sydney</t>
  </si>
  <si>
    <t>Eigen bijdrage atleten/EK023</t>
  </si>
  <si>
    <t>Eigen bijdrage atleten excl RTC</t>
  </si>
  <si>
    <t>Totaal EB</t>
  </si>
  <si>
    <t>Exploitatie resultaat</t>
  </si>
  <si>
    <t xml:space="preserve">De grondslagen die worden toegepast voor de waardering van activa en passiva en resultaatbepaling zijn gebaseerd op historische kosten. </t>
  </si>
  <si>
    <t xml:space="preserve">De materiële vaste activa worden gewaardeerd tegen aanschaffingsprijs (verkrijgingsprijs of vervaardigingsprijs). De afschrijvingen zijn berekend volgens de lineaire methode op basis van de economische levensduur. </t>
  </si>
  <si>
    <t>Controleverklaring</t>
  </si>
  <si>
    <t>De controleverklaring van de onafhankelijke accountant is op de volgende pagina's opgenomen.</t>
  </si>
  <si>
    <t>Gebeurtenissen na balansdatum</t>
  </si>
  <si>
    <t>Er zijn geen gebeurtenissen na balansdatum aanwezig die het verantwoorde vermogen per balansdatum beïnvloeden.</t>
  </si>
  <si>
    <t>Toevoeging c.q. onttrekking aan:</t>
  </si>
  <si>
    <t>Overige reserves</t>
  </si>
  <si>
    <t>Het resultaat boekjaar  wordt als volgt verdeeld:</t>
  </si>
  <si>
    <t>Ondertekening jaarrekening</t>
  </si>
  <si>
    <t>voorzitter</t>
  </si>
  <si>
    <t>penningmeester</t>
  </si>
  <si>
    <t>directeur</t>
  </si>
  <si>
    <t>R.W. Groenman</t>
  </si>
  <si>
    <t xml:space="preserve">Voorraden handelsgoederen worden gewaardeerd tegen verkrijgingsprijs of lagere </t>
  </si>
  <si>
    <t xml:space="preserve">netto-opbrengstwaarde. Deze lagere netto-opbrengstwaarde wordt bepaald door individuele </t>
  </si>
  <si>
    <t xml:space="preserve">aftrek van kortingen en dergelijke kosten. De lasten worden bepaald met inachtneming van de </t>
  </si>
  <si>
    <t>hiervoor reeds vermelde waarderingsgrondslagen.</t>
  </si>
  <si>
    <t>Onkoten technisch coördinator PARA</t>
  </si>
  <si>
    <t>Loon Embedded</t>
  </si>
  <si>
    <t>Onkoten Embedded</t>
  </si>
  <si>
    <t>Reiskosten sporters/Stage Spanje</t>
  </si>
  <si>
    <t>Reiskosten sporters/WCS Auckland</t>
  </si>
  <si>
    <t>Breedtesportprojecten/TRIATHLON Stimulering</t>
  </si>
  <si>
    <t>Stimulering Triathlon Limburg</t>
  </si>
  <si>
    <t>Opleidingsbijdragen</t>
  </si>
  <si>
    <t>Opleidingsbijdragen TTN3</t>
  </si>
  <si>
    <t>Opleidingsbijdrage</t>
  </si>
  <si>
    <t>Reiskosten sporters/Stagepara</t>
  </si>
  <si>
    <t>Reiskosten sporters/WG duathlon</t>
  </si>
  <si>
    <t>Reiskosten sporters/Stage tridagen</t>
  </si>
  <si>
    <t>Matriaal Para</t>
  </si>
  <si>
    <t>NOC Sportopleiding bonden</t>
  </si>
  <si>
    <t>NOC Alg functioneren/FOB</t>
  </si>
  <si>
    <t>Subsidies NOC*NSF</t>
  </si>
  <si>
    <t>Technisch coördinator para</t>
  </si>
  <si>
    <t>Eigen bijdrage atleten/Stage Spanje</t>
  </si>
  <si>
    <t>Reiskst sporters/Para Europe</t>
  </si>
  <si>
    <t>Reiskst sporters/Para Alanya</t>
  </si>
  <si>
    <t>Opleidingsbijdragen TTN4</t>
  </si>
  <si>
    <t>Inkomsten TBN 1</t>
  </si>
  <si>
    <t>Reiskosten sporters/Stockholm</t>
  </si>
  <si>
    <t>Reiskst para london</t>
  </si>
  <si>
    <t>Kosten officials en NG</t>
  </si>
  <si>
    <t>Resultaatbestemming;</t>
  </si>
  <si>
    <t>Ten gunste van overige reserves</t>
  </si>
  <si>
    <t>schuld. Schulden zijn gerangschikt onder de kortlopende schulden.</t>
  </si>
  <si>
    <t>Schulden</t>
  </si>
  <si>
    <t>Schulden zijn gewaardeerd tegen de geamortiseerde kostprijs. Indien er geen sprake is van agio of</t>
  </si>
  <si>
    <t xml:space="preserve">disagio of transactiekosten is de geamortiseerde kostprijs gelijk aan de nominale waarde van de </t>
  </si>
  <si>
    <t>Ontvangsten en uitgaven uit hoofde van interest zijn opgenomen onder de kasstroom uit</t>
  </si>
  <si>
    <t>kasstroomoverzicht bestaan uit de liquide middelen.</t>
  </si>
  <si>
    <t>Teamcompetities</t>
  </si>
  <si>
    <t>Flevoland/Almere</t>
  </si>
  <si>
    <t>Opleidingsbijdragen TTN1 en bijscholingen</t>
  </si>
  <si>
    <t>Opleidingskosten TTN3</t>
  </si>
  <si>
    <t>Opleidingskosten TTN4</t>
  </si>
  <si>
    <t>Opleidingskosten TTN1 en bijscholingen</t>
  </si>
  <si>
    <t>Talent kosten</t>
  </si>
  <si>
    <t>NOC NTC</t>
  </si>
  <si>
    <t>Para inkomsten</t>
  </si>
  <si>
    <t>Eigen bijdrage atleten/Sel 2016</t>
  </si>
  <si>
    <t>Eigen bijdrage atleten/NZL</t>
  </si>
  <si>
    <t>Subsidie RTC Tilburg</t>
  </si>
  <si>
    <t>Reiskosten sporters/2016/2020 AUS</t>
  </si>
  <si>
    <t>Duathlon</t>
  </si>
  <si>
    <t xml:space="preserve">    </t>
  </si>
  <si>
    <t>Reiskosten sporters/voorbereiding Rio/YOG</t>
  </si>
  <si>
    <t>Eigen bijdrage atleten/2020 WC Chicago</t>
  </si>
  <si>
    <t>Eigen bijdrage atleten/WK Edmonton</t>
  </si>
  <si>
    <t>Eigen bijdrage atleten para Europe</t>
  </si>
  <si>
    <t>EB para</t>
  </si>
  <si>
    <t>RTC Alkmaar</t>
  </si>
  <si>
    <t>TEIC via Limburg</t>
  </si>
  <si>
    <t>aan het Eigen Vermogen bijgevoegd.</t>
  </si>
  <si>
    <t>W.J.M van Oijen</t>
  </si>
  <si>
    <t>Reiskosten sporters/Aus Goldcoast</t>
  </si>
  <si>
    <t>Reiskst sporters/Para Chicago</t>
  </si>
  <si>
    <t>Staat van baten en lasten 2015</t>
  </si>
  <si>
    <t>Doorbelaste personeelskosten PR</t>
  </si>
  <si>
    <t>Eigen bijdrage atleten/London</t>
  </si>
  <si>
    <t>Reiskosten sporters/Baku</t>
  </si>
  <si>
    <t>Eigen bijdrage atleten para London</t>
  </si>
  <si>
    <t>Ironman Limburg</t>
  </si>
  <si>
    <t>Para Classificatie</t>
  </si>
  <si>
    <t>Media/PR NTC</t>
  </si>
  <si>
    <t>Overige inkomsten topsport</t>
  </si>
  <si>
    <t>Eigen bijdrage atleten/Stage Kenia</t>
  </si>
  <si>
    <t>Reiskosten sporters/Abudabi</t>
  </si>
  <si>
    <t>Reiskosten sporters/Gapetowm</t>
  </si>
  <si>
    <t>Reiskosten sporters/Hamburg</t>
  </si>
  <si>
    <t>Reiskosten sporters/Edmonton</t>
  </si>
  <si>
    <t>Sponsorprojecten</t>
  </si>
  <si>
    <t>Kosten communicatie/TS</t>
  </si>
  <si>
    <t>Kaarten RIO</t>
  </si>
  <si>
    <t>Balans per 31 december 2015</t>
  </si>
  <si>
    <t>Ideal kosten via ING</t>
  </si>
  <si>
    <t>Transitievergoeding</t>
  </si>
  <si>
    <t>Samenstelling Directie en Bestuur;</t>
  </si>
  <si>
    <t xml:space="preserve">Bestuur; </t>
  </si>
  <si>
    <t>Voorzitter; Dhr. W. van Ooijen</t>
  </si>
  <si>
    <t xml:space="preserve">Directie; </t>
  </si>
  <si>
    <t>Dhr. R. Groenman</t>
  </si>
  <si>
    <t>Vorderingen worden bij de eerste verwerking  opgenomen tegen de reële waarde en vervolgens gewaardeerd</t>
  </si>
  <si>
    <t>tegen geamoritseerde kostprijs. De reële waarde en geamortiseerde kostpijs zijn gelijk aan de nominale</t>
  </si>
  <si>
    <t>waarde. Noodzakelijk geachte voorzieningen voor het risico van oninbaarheid worden in mindering gebracht.</t>
  </si>
  <si>
    <t>Deze voorzieningen worden bepaald op basis van individuele beoordeling van de vorderingen.</t>
  </si>
  <si>
    <t>Grondslagen voor het pensioen</t>
  </si>
  <si>
    <t>Op de pensioenregeling zijn bepalingen van de Nederlandse Pensioenwet van toepassing en worden op</t>
  </si>
  <si>
    <t xml:space="preserve">door de Nederlandse Triathlon Bond. De premies worden verantwoord als personeelskosten zodra deze </t>
  </si>
  <si>
    <t>verschuldigd zijn. Vooruitbetaalde premies worden opgenomen als overlopende activa indien dit tot een terugstorting</t>
  </si>
  <si>
    <t>leidt of tot een vermindering van toekomstige betalingen. Nog niet betaalde premies worden als verplichting op</t>
  </si>
  <si>
    <t>de balans opgenomen.</t>
  </si>
  <si>
    <t>verplichte, contractuele of vrijwillge basis premies aan pensioenfondsen en verzekeringsmaatschappijen betaald</t>
  </si>
  <si>
    <t>Fiscaliteiten</t>
  </si>
  <si>
    <t xml:space="preserve">De Nederlandse Triathlon Bond is niet vennootschapsbelastingplichtig over de door haar gevoerde activiteiten. </t>
  </si>
  <si>
    <t xml:space="preserve">activiteiten betreft inzake verkoop van kleding en sponsoring. In 2016 zal de Nederlandse Triathlon Bond </t>
  </si>
  <si>
    <t>hier nader onderzoek naar verrichten.</t>
  </si>
  <si>
    <t xml:space="preserve">Daarnaast is de Nederlandse Triathlon Bond (mogelijk) zeer beperkt omzetbelastingplichtig voor zover het haar </t>
  </si>
  <si>
    <t>2016 - werkelijk</t>
  </si>
  <si>
    <t>ITU Level 1</t>
  </si>
  <si>
    <t>Subsidies Alkmaar</t>
  </si>
  <si>
    <t>Inhuur ICT</t>
  </si>
  <si>
    <t>Reiskosten sporters/Stage Spanje II</t>
  </si>
  <si>
    <t>Eigen bijdrage atleten/RTC Alkmaar</t>
  </si>
  <si>
    <t>Tijdelijke werkgroepen R^dam</t>
  </si>
  <si>
    <t>v</t>
  </si>
  <si>
    <t xml:space="preserve">de balans per 31 december 2016 in verkorte vorm. </t>
  </si>
  <si>
    <t>Reiskosten sporters/WC Italie</t>
  </si>
  <si>
    <t>Reiskosten begeleiding/EK Lissabon</t>
  </si>
  <si>
    <t>Reiskst sporters/Para Lissabon</t>
  </si>
  <si>
    <t>Reiskosten sporters/WCS Leeds</t>
  </si>
  <si>
    <t>Reiskosten sporters/Cozumel</t>
  </si>
  <si>
    <t xml:space="preserve">Duathlon </t>
  </si>
  <si>
    <t>Divisie matriaal</t>
  </si>
  <si>
    <t>DIV Coordintator</t>
  </si>
  <si>
    <t>Extra TO</t>
  </si>
  <si>
    <t>Kosten Matriaal</t>
  </si>
  <si>
    <t>Bestemmingsreserve verhuizing</t>
  </si>
  <si>
    <t>H. Urlings</t>
  </si>
  <si>
    <t>Bijdrage Bestedingsplan NOC</t>
  </si>
  <si>
    <t>Bijdrage Lotto-gelden</t>
  </si>
  <si>
    <t>Bijdrage bestedingsplan NOC</t>
  </si>
  <si>
    <t>Stand ultimo boekjaar 2016</t>
  </si>
  <si>
    <t xml:space="preserve">De cijfers voor 2015 zijn waar nodig geherrubriceerd teneinde vergelijkbaarheid met 2016 mogelijk te </t>
  </si>
  <si>
    <t>Penningmeester; Dhr. H. Urlings</t>
  </si>
  <si>
    <t>Secretaris/personeelsbeleid; P. Kingma</t>
  </si>
  <si>
    <t>Topsport/Marketing, Sponsering en vicevoorzitter; Dhr. M. Breedijk</t>
  </si>
  <si>
    <t>Communicatie en Breedtesport; Mevr. K. Oppeland</t>
  </si>
  <si>
    <t>Te Vorderen 21%</t>
  </si>
  <si>
    <t>Te betalen 21%</t>
  </si>
  <si>
    <t>Site events Rdam Feestje</t>
  </si>
  <si>
    <t>Site events NL Feestje</t>
  </si>
  <si>
    <t>Onkst coordinator Para (Jelmer)</t>
  </si>
  <si>
    <t>Coordinator Para (Jelmer)</t>
  </si>
  <si>
    <t>Consulting, Test&amp;Training PARA</t>
  </si>
  <si>
    <t>Provincie Limburg Stimulering</t>
  </si>
  <si>
    <t>Forte</t>
  </si>
  <si>
    <t>Daily Fresh</t>
  </si>
  <si>
    <t>Pioneer</t>
  </si>
  <si>
    <t>Algemene kantoorkosten</t>
  </si>
  <si>
    <t>Eigen bijdrage Triathleten Huisvesting</t>
  </si>
  <si>
    <t>Eigen bijdrage Triathleten Wedstrijden/stages</t>
  </si>
  <si>
    <t>Coordinator Talentscouting</t>
  </si>
  <si>
    <t>Tussenrekening balans</t>
  </si>
  <si>
    <t>IDEAL</t>
  </si>
  <si>
    <t>Subsidie Rdam Feestje</t>
  </si>
  <si>
    <t>Subsidie NL Feestje</t>
  </si>
  <si>
    <t>Sponser tegenfacturen</t>
  </si>
  <si>
    <t>Eigen bijdrage atleten/StagePara</t>
  </si>
  <si>
    <t>2017 - werkelijk</t>
  </si>
  <si>
    <t>Bestemmingsreserve Pioneer</t>
  </si>
  <si>
    <t>Prijzengeld</t>
  </si>
  <si>
    <t>Alkmaar Sport Zwem PARA</t>
  </si>
  <si>
    <t>Te Vorderen 6%</t>
  </si>
  <si>
    <t>Zwemaccomodatie Alkmaar</t>
  </si>
  <si>
    <t>Subsidies Gemeente Sittard</t>
  </si>
  <si>
    <t>Subsidies TEAM NL</t>
  </si>
  <si>
    <t>BTW te vord/te betalen</t>
  </si>
  <si>
    <t>RTC Brabant</t>
  </si>
  <si>
    <t>Reiskosten sporters</t>
  </si>
  <si>
    <t>Voor u ligt het jaarverslag 2017 van de Nederlandse Triathlon Bond.</t>
  </si>
  <si>
    <t>ad € 77.875,-  resp. € 513.000,-  als subsidiebaten verantwoord in de jaarrekening.</t>
  </si>
  <si>
    <t xml:space="preserve">De subsidies van NOC*NSF en Lotto over 2016 zijn in 2017 definitief vastgesteld. Voor 2017 zijn de toegezegde subsidies </t>
  </si>
  <si>
    <t xml:space="preserve">De subsidies van de Provincie Limburg en Provincie Flevoland over 2016 zijn definitief vastgesteld. Voor 2017 zijn de toegezegde </t>
  </si>
  <si>
    <t>subsidies ad  € 314.600,- resp. € 66.000,- als subsidiebaten verantwoord in de jaarrekening.</t>
  </si>
  <si>
    <t>Waarvan D-leden 2016</t>
  </si>
  <si>
    <t>Bij: D-leden 2017</t>
  </si>
  <si>
    <t>Stand ultimo boekjaar 2017</t>
  </si>
  <si>
    <t xml:space="preserve">De vereniging kent natuurlijke leden en (beperkt) organisatieleden. De natuurlijke ledenstand ultimo boekjaar 2017 bedraagt 31.647 leden. </t>
  </si>
  <si>
    <t>Vaststelling jaarrekening 2017</t>
  </si>
  <si>
    <t xml:space="preserve">Tijdens de TriathlonRaad vergadering, gehouden op 26 april 2018, is de jaarrekening 2017 goedgekeurd. </t>
  </si>
  <si>
    <t xml:space="preserve">Uit de jaarrekening is een verlies gekomen ad € 41.277,-. Dit verlies is, overeenkomstig het gedane voorstel, </t>
  </si>
  <si>
    <t>2017 - begroot</t>
  </si>
  <si>
    <t>Nieuwegein, 27 maart 2017</t>
  </si>
  <si>
    <t>2018 - werkelijk</t>
  </si>
  <si>
    <t>Bedrijfssport (BS)</t>
  </si>
  <si>
    <t>Provincie Limburg Topsport</t>
  </si>
  <si>
    <t>Polar/Trainingspeak</t>
  </si>
  <si>
    <t>Organisatie en Managment</t>
  </si>
  <si>
    <t>Topsport en Talentontwikkeling</t>
  </si>
  <si>
    <t>Wedstrijdprogramma NTC/RTC/TO</t>
  </si>
  <si>
    <t>Trainingsprogramma NTC/RTC/TO</t>
  </si>
  <si>
    <t>Coaches NTC /RTC Sittard+ Talentontw Junioren</t>
  </si>
  <si>
    <t>Dagelijkse Training situatie</t>
  </si>
  <si>
    <t>NTC huisvesting, maaltijden, vervoer, onderwijs</t>
  </si>
  <si>
    <t>Overige sponsoring</t>
  </si>
  <si>
    <t>Topsport Para en Talentontwikkeling</t>
  </si>
  <si>
    <t>Organisatie en Management</t>
  </si>
  <si>
    <t>Training- en wedstrijdprogramma</t>
  </si>
  <si>
    <t>Coaches Para en talentontwikkelings programma</t>
  </si>
  <si>
    <t>Training situatie, materiaal, innovatie, scholing</t>
  </si>
  <si>
    <t>Eigen bijdrage Triathleten wedstrijden/stages</t>
  </si>
  <si>
    <t>Bedrijfs Sport</t>
  </si>
  <si>
    <t>Stimulering Ironkids Maastricht</t>
  </si>
  <si>
    <t>Reiskosten sporters/Hoogte Stage</t>
  </si>
  <si>
    <t>Stage Saarbuchen</t>
  </si>
  <si>
    <t>Reiskosten sporters/Bermuda</t>
  </si>
  <si>
    <t>Reiskosten sporters/Quateira</t>
  </si>
  <si>
    <t>Eigen bijdrage atleten/RTC Brabant</t>
  </si>
  <si>
    <t xml:space="preserve">Eigen bijdrage atleten/Stage </t>
  </si>
  <si>
    <t>Gevestigd te Arnhem</t>
  </si>
  <si>
    <t>Topsport Para en Talentonwikkeling</t>
  </si>
  <si>
    <t>Eigen bijdrage atleten/Regio Gelderland</t>
  </si>
  <si>
    <t>Regio Gelderland</t>
  </si>
  <si>
    <t>Regio Gelderland/Arnhem</t>
  </si>
  <si>
    <t>RTC Brabant/Regio Gelderland</t>
  </si>
  <si>
    <t>Stage Flagstaff</t>
  </si>
  <si>
    <t>Eigen bijdrage atleten/Hamburg</t>
  </si>
  <si>
    <t>Eigen bijdrage atleten/Tokyo</t>
  </si>
  <si>
    <t>Eigen bijdrage atleten/kwalificatieITU/ETU</t>
  </si>
  <si>
    <t>Overige huisvestingkosten</t>
  </si>
  <si>
    <t>Pathway manager</t>
  </si>
  <si>
    <t>Eigen bijdrage atleten/Edmonton</t>
  </si>
  <si>
    <t>Reiskosten sporters/Weihai</t>
  </si>
  <si>
    <t>Pathway manager Onkst</t>
  </si>
  <si>
    <t>Reiskst Subsidie</t>
  </si>
  <si>
    <t>Reiskst TeamNL</t>
  </si>
  <si>
    <t>Coördinatie en Ontwikkelingskosten</t>
  </si>
  <si>
    <t>Kader Bijscholing en Coachcongres</t>
  </si>
  <si>
    <t>Inkomsten TTN4 -opleiding</t>
  </si>
  <si>
    <t>Kader TTN1-opleiding</t>
  </si>
  <si>
    <t>Coordinatie Kader en Ontwikkelingskst</t>
  </si>
  <si>
    <t>Doorbelastingen</t>
  </si>
  <si>
    <t>Topsport Organisatie en Management</t>
  </si>
  <si>
    <t>Topsport Coaching NTC/RTC/TO</t>
  </si>
  <si>
    <t>PR en Communicatie</t>
  </si>
  <si>
    <t>CoördinatieTeamcompetitie</t>
  </si>
  <si>
    <t>Coördinatie Kader</t>
  </si>
  <si>
    <t>Breedtesport Diversen</t>
  </si>
  <si>
    <t>Doorbelasting personeelskosten Extern</t>
  </si>
  <si>
    <t>Uitkering Ziekengeld</t>
  </si>
  <si>
    <t>#5206-90000</t>
  </si>
  <si>
    <t>Verschil Prgnose</t>
  </si>
  <si>
    <t>Fee Deelname Teams</t>
  </si>
  <si>
    <t>Bijdrage Afdrachten NTB 10% vanuit TC</t>
  </si>
  <si>
    <t>Sponsoring</t>
  </si>
  <si>
    <t>RBR Series</t>
  </si>
  <si>
    <t>Kosten Evenementen</t>
  </si>
  <si>
    <t>Coördinatiekosten</t>
  </si>
  <si>
    <t>Jeugd- en Junioren Circuit</t>
  </si>
  <si>
    <t>Kosten Algemeen</t>
  </si>
  <si>
    <t>Bijdrage Afdrachten NTB 10%</t>
  </si>
  <si>
    <t>JJC Kosten</t>
  </si>
  <si>
    <t>JJC</t>
  </si>
  <si>
    <t>RBR</t>
  </si>
  <si>
    <t>Omzet Teamcompetities</t>
  </si>
  <si>
    <t>Omzet RBR Series</t>
  </si>
  <si>
    <t>Afdracht RBR series</t>
  </si>
  <si>
    <t>Afdracht Teamcompetities</t>
  </si>
  <si>
    <t>Omzet JJ Circuit</t>
  </si>
  <si>
    <t>Doorbelaste personeelskosten Officials</t>
  </si>
  <si>
    <t>2019 - werkelijk</t>
  </si>
  <si>
    <t>2019 - cf begroting</t>
  </si>
  <si>
    <t>2019 - begroting</t>
  </si>
  <si>
    <t>Staat van baten en lasten 2019</t>
  </si>
  <si>
    <t>Eigen bijdrage atleten/StageTO</t>
  </si>
  <si>
    <t>Eigen bijdrage atleten</t>
  </si>
  <si>
    <t>Reiskosten sporters/para portugal</t>
  </si>
  <si>
    <t>Kader TTN3</t>
  </si>
  <si>
    <t>Basisfinanciering Sportbonden</t>
  </si>
  <si>
    <t>NOC Breedtesport</t>
  </si>
  <si>
    <t>Basisbijdrage Topsport</t>
  </si>
  <si>
    <t>Basisbijdrag TS/PARA</t>
  </si>
  <si>
    <t>Subsidie Project Lidmaatschappen</t>
  </si>
  <si>
    <t>TV rechten (NOC*NSF contract)</t>
  </si>
  <si>
    <t>Sponsorbijdrage Diversen</t>
  </si>
  <si>
    <t>Taxc</t>
  </si>
  <si>
    <t>IDEAL opbrengsten/NTB Inschrijvingen</t>
  </si>
  <si>
    <t>Sociale lasten/pensioenpremies</t>
  </si>
  <si>
    <t>Coördinatie Evenementen/Officials</t>
  </si>
  <si>
    <t>Netto Personeelskosten</t>
  </si>
  <si>
    <t>Project ICT</t>
  </si>
  <si>
    <t>Doorbelasting Stimulering Subsidie NOC*NSF/BS</t>
  </si>
  <si>
    <t>Doorbelasting Coördinatie Jeugd stimulering</t>
  </si>
  <si>
    <t>Project Lidmaatschappen</t>
  </si>
  <si>
    <t>Jeugd TO/ Regiocoaches</t>
  </si>
  <si>
    <t>Jeugd Stimulering</t>
  </si>
  <si>
    <t>Crosstriathlon Stimulering</t>
  </si>
  <si>
    <t>Diverse breedtesportprojecten</t>
  </si>
  <si>
    <t>Kosten Media</t>
  </si>
  <si>
    <t>Jeugd-en Junioren circuit</t>
  </si>
  <si>
    <t>Jeugd-en Juniorencircuit</t>
  </si>
  <si>
    <t>Deelnemersbijdragen/Afdrachten</t>
  </si>
  <si>
    <t>PR-activiteiten</t>
  </si>
  <si>
    <t>Redactie/Persdienst</t>
  </si>
  <si>
    <t>Jeugd&amp;JuniorenCircuit</t>
  </si>
  <si>
    <t>Reiskosten sporters/para Word</t>
  </si>
  <si>
    <t>Kosten TTN4</t>
  </si>
  <si>
    <t xml:space="preserve"> v</t>
  </si>
  <si>
    <t>RBR omzet</t>
  </si>
  <si>
    <t>RBR kosten</t>
  </si>
  <si>
    <t>Team competies inkomsten</t>
  </si>
  <si>
    <t>Eredivisie kosten</t>
  </si>
  <si>
    <t>Reiskst Subsidie PARA</t>
  </si>
  <si>
    <t>Fee Jeugd&amp;Juniorencircuit</t>
  </si>
  <si>
    <t>Mainport Media</t>
  </si>
  <si>
    <t>Vordering IL</t>
  </si>
  <si>
    <t>Vordering VL</t>
  </si>
  <si>
    <t>Vordering Verenigingen</t>
  </si>
  <si>
    <t>Vordering Organisaties</t>
  </si>
  <si>
    <t>Vordering Afdrachten</t>
  </si>
  <si>
    <t>Vordering Dlicenties</t>
  </si>
  <si>
    <t>Vordering Organisatie Vergunning</t>
  </si>
  <si>
    <t>Doorbelasting Transistion</t>
  </si>
  <si>
    <t>Subsidies NOC*NSF/PARA</t>
  </si>
  <si>
    <t>Opleidingsverenigingen/Sterke NTB Jeugdvereniging</t>
  </si>
  <si>
    <t>Vordering ABBN Transistion</t>
  </si>
  <si>
    <t>Te betalen 6%</t>
  </si>
  <si>
    <t>JJC Inkomsten</t>
  </si>
  <si>
    <t>Kosten RBR Series Evenementen</t>
  </si>
  <si>
    <t>Kosten RBR Series Prijzengeld</t>
  </si>
  <si>
    <t>Kosten RBR Series Coordinatie</t>
  </si>
  <si>
    <t>Breedtesportprojecten/</t>
  </si>
  <si>
    <t>Mainport</t>
  </si>
  <si>
    <t>2020 - cf begroting</t>
  </si>
  <si>
    <t>Conceptbegroting 2020</t>
  </si>
  <si>
    <t>Overige Subsidies</t>
  </si>
  <si>
    <t>2019 - cf prognose</t>
  </si>
  <si>
    <t>2020 - cf werkbegroting</t>
  </si>
  <si>
    <t>Multisport stage en wedstrijdprogramma</t>
  </si>
  <si>
    <t>Doorbelasting Coordinator Multisport</t>
  </si>
  <si>
    <t xml:space="preserve">Specialistische begeleiding </t>
  </si>
  <si>
    <t>2019 Prognose</t>
  </si>
  <si>
    <t>2020-TR Begroting</t>
  </si>
  <si>
    <t>2020 - Werkbegroting</t>
  </si>
  <si>
    <t>Sportspecifieke kosten (materiaal, innovatie, scholing)</t>
  </si>
  <si>
    <t>Sponsor/marketing Activatie</t>
  </si>
  <si>
    <t>Dubieze debiteuren</t>
  </si>
  <si>
    <t>Coördinatie WKAlmere multisport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</si>
</sst>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0.0%"/>
    <numFmt numFmtId="168" formatCode="#,##0.0"/>
    <numFmt numFmtId="169" formatCode="0.0"/>
    <numFmt numFmtId="170" formatCode="#,##0_ ;\-#,##0\ "/>
    <numFmt numFmtId="171" formatCode="_-* #,##0_-;_-* #,##0\-;_-* &quot;-&quot;??_-;_-@_-"/>
    <numFmt numFmtId="172" formatCode="d/mm/yy;@"/>
    <numFmt numFmtId="173" formatCode="_-* #,##0.0_-;_-* #,##0.0\-;_-* &quot;-&quot;_-;_-@_-"/>
    <numFmt numFmtId="174" formatCode="#,##0.000000"/>
  </numFmts>
  <fonts count="53" x14ac:knownFonts="1"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3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10"/>
      <name val="Times New Roman"/>
      <family val="1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Courier New"/>
      <family val="3"/>
    </font>
    <font>
      <b/>
      <sz val="13"/>
      <name val="Times New Roman"/>
      <family val="1"/>
    </font>
    <font>
      <sz val="13"/>
      <name val="Times New Roman"/>
      <family val="1"/>
    </font>
    <font>
      <u val="double"/>
      <sz val="11"/>
      <name val="Times New Roman"/>
      <family val="1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b/>
      <sz val="11"/>
      <color indexed="10"/>
      <name val="Times New Roman"/>
      <family val="1"/>
    </font>
    <font>
      <b/>
      <sz val="11"/>
      <name val="Calibri"/>
      <family val="2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i/>
      <sz val="11"/>
      <name val="Calibri"/>
      <family val="2"/>
    </font>
    <font>
      <b/>
      <sz val="12"/>
      <color theme="1"/>
      <name val="Times New Roman"/>
      <family val="1"/>
    </font>
    <font>
      <sz val="10"/>
      <color rgb="FF00B0F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color rgb="FFFF0000"/>
      <name val="Tahoma"/>
      <family val="2"/>
    </font>
    <font>
      <sz val="10"/>
      <color indexed="10"/>
      <name val="Tahoma"/>
      <family val="2"/>
    </font>
    <font>
      <sz val="10"/>
      <color rgb="FF00B0F0"/>
      <name val="Tahoma"/>
      <family val="2"/>
    </font>
    <font>
      <sz val="10"/>
      <color rgb="FF00B050"/>
      <name val="Tahoma"/>
      <family val="2"/>
    </font>
    <font>
      <sz val="10"/>
      <color theme="8" tint="-0.249977111117893"/>
      <name val="Tahoma"/>
      <family val="2"/>
    </font>
    <font>
      <b/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/>
    <xf numFmtId="0" fontId="2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01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5" fillId="0" borderId="0" xfId="0" applyFont="1" applyFill="1"/>
    <xf numFmtId="0" fontId="7" fillId="0" borderId="0" xfId="0" applyFont="1"/>
    <xf numFmtId="0" fontId="8" fillId="0" borderId="0" xfId="0" applyFont="1"/>
    <xf numFmtId="3" fontId="5" fillId="0" borderId="0" xfId="0" applyNumberFormat="1" applyFont="1" applyFill="1"/>
    <xf numFmtId="3" fontId="3" fillId="0" borderId="0" xfId="0" applyNumberFormat="1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Fill="1"/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horizontal="left" indent="7"/>
    </xf>
    <xf numFmtId="0" fontId="18" fillId="0" borderId="0" xfId="0" applyFont="1"/>
    <xf numFmtId="0" fontId="12" fillId="0" borderId="0" xfId="0" applyFont="1" applyAlignment="1"/>
    <xf numFmtId="0" fontId="12" fillId="0" borderId="0" xfId="0" applyFont="1" applyFill="1" applyBorder="1"/>
    <xf numFmtId="3" fontId="12" fillId="0" borderId="0" xfId="0" applyNumberFormat="1" applyFont="1" applyFill="1"/>
    <xf numFmtId="3" fontId="12" fillId="0" borderId="1" xfId="0" applyNumberFormat="1" applyFont="1" applyFill="1" applyBorder="1"/>
    <xf numFmtId="3" fontId="12" fillId="0" borderId="2" xfId="0" applyNumberFormat="1" applyFont="1" applyFill="1" applyBorder="1"/>
    <xf numFmtId="0" fontId="12" fillId="0" borderId="0" xfId="0" applyFont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2" fillId="0" borderId="3" xfId="0" applyNumberFormat="1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8" fillId="0" borderId="0" xfId="0" applyFont="1" applyBorder="1"/>
    <xf numFmtId="0" fontId="12" fillId="0" borderId="0" xfId="0" applyFont="1" applyBorder="1" applyAlignment="1">
      <alignment horizontal="left"/>
    </xf>
    <xf numFmtId="3" fontId="12" fillId="0" borderId="0" xfId="0" applyNumberFormat="1" applyFont="1" applyBorder="1"/>
    <xf numFmtId="169" fontId="12" fillId="0" borderId="0" xfId="0" applyNumberFormat="1" applyFont="1" applyBorder="1"/>
    <xf numFmtId="168" fontId="12" fillId="0" borderId="0" xfId="0" applyNumberFormat="1" applyFont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 indent="7"/>
    </xf>
    <xf numFmtId="0" fontId="12" fillId="0" borderId="0" xfId="0" applyFont="1" applyBorder="1" applyAlignment="1"/>
    <xf numFmtId="0" fontId="11" fillId="0" borderId="0" xfId="0" applyFont="1" applyBorder="1"/>
    <xf numFmtId="3" fontId="12" fillId="0" borderId="0" xfId="0" applyNumberFormat="1" applyFont="1" applyFill="1" applyBorder="1"/>
    <xf numFmtId="168" fontId="12" fillId="0" borderId="0" xfId="0" applyNumberFormat="1" applyFont="1" applyFill="1" applyBorder="1"/>
    <xf numFmtId="14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0" fontId="11" fillId="0" borderId="0" xfId="0" applyFont="1" applyBorder="1" applyAlignment="1"/>
    <xf numFmtId="3" fontId="10" fillId="0" borderId="0" xfId="0" applyNumberFormat="1" applyFont="1"/>
    <xf numFmtId="0" fontId="20" fillId="0" borderId="0" xfId="0" applyFont="1"/>
    <xf numFmtId="0" fontId="21" fillId="0" borderId="0" xfId="0" applyFont="1"/>
    <xf numFmtId="3" fontId="21" fillId="0" borderId="0" xfId="0" applyNumberFormat="1" applyFont="1"/>
    <xf numFmtId="3" fontId="20" fillId="0" borderId="0" xfId="0" applyNumberFormat="1" applyFont="1"/>
    <xf numFmtId="3" fontId="20" fillId="0" borderId="0" xfId="0" applyNumberFormat="1" applyFont="1" applyBorder="1"/>
    <xf numFmtId="3" fontId="20" fillId="0" borderId="0" xfId="0" applyNumberFormat="1" applyFont="1" applyFill="1"/>
    <xf numFmtId="3" fontId="12" fillId="0" borderId="0" xfId="0" applyNumberFormat="1" applyFont="1" applyAlignment="1">
      <alignment horizontal="right"/>
    </xf>
    <xf numFmtId="0" fontId="19" fillId="0" borderId="0" xfId="0" applyFont="1"/>
    <xf numFmtId="3" fontId="12" fillId="0" borderId="0" xfId="0" applyNumberFormat="1" applyFont="1" applyFill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3" fontId="13" fillId="0" borderId="0" xfId="0" applyNumberFormat="1" applyFont="1"/>
    <xf numFmtId="3" fontId="13" fillId="0" borderId="0" xfId="0" applyNumberFormat="1" applyFont="1" applyFill="1"/>
    <xf numFmtId="3" fontId="20" fillId="0" borderId="0" xfId="0" applyNumberFormat="1" applyFont="1" applyFill="1" applyBorder="1"/>
    <xf numFmtId="3" fontId="21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/>
    <xf numFmtId="3" fontId="12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1" fontId="12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1" fontId="11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0" fontId="20" fillId="0" borderId="0" xfId="0" applyFont="1" applyFill="1"/>
    <xf numFmtId="0" fontId="9" fillId="0" borderId="0" xfId="0" applyFont="1"/>
    <xf numFmtId="0" fontId="2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Fill="1" applyBorder="1"/>
    <xf numFmtId="0" fontId="23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Fill="1"/>
    <xf numFmtId="3" fontId="9" fillId="0" borderId="0" xfId="0" applyNumberFormat="1" applyFont="1"/>
    <xf numFmtId="3" fontId="23" fillId="0" borderId="0" xfId="0" applyNumberFormat="1" applyFont="1"/>
    <xf numFmtId="164" fontId="12" fillId="0" borderId="0" xfId="0" applyNumberFormat="1" applyFont="1" applyFill="1" applyBorder="1"/>
    <xf numFmtId="170" fontId="12" fillId="0" borderId="0" xfId="0" applyNumberFormat="1" applyFont="1" applyFill="1"/>
    <xf numFmtId="0" fontId="10" fillId="0" borderId="0" xfId="0" applyFont="1" applyAlignment="1">
      <alignment horizontal="left"/>
    </xf>
    <xf numFmtId="171" fontId="12" fillId="0" borderId="0" xfId="2" applyNumberFormat="1" applyFont="1" applyFill="1" applyBorder="1"/>
    <xf numFmtId="171" fontId="12" fillId="0" borderId="0" xfId="2" applyNumberFormat="1" applyFont="1" applyFill="1" applyAlignment="1">
      <alignment horizontal="right"/>
    </xf>
    <xf numFmtId="171" fontId="12" fillId="0" borderId="0" xfId="2" applyNumberFormat="1" applyFont="1" applyFill="1" applyBorder="1" applyAlignment="1">
      <alignment horizontal="right"/>
    </xf>
    <xf numFmtId="171" fontId="12" fillId="0" borderId="2" xfId="2" applyNumberFormat="1" applyFont="1" applyFill="1" applyBorder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5" fillId="0" borderId="0" xfId="0" applyFont="1" applyBorder="1"/>
    <xf numFmtId="0" fontId="25" fillId="0" borderId="0" xfId="5"/>
    <xf numFmtId="4" fontId="25" fillId="0" borderId="0" xfId="5" applyNumberFormat="1"/>
    <xf numFmtId="4" fontId="25" fillId="0" borderId="0" xfId="5" applyNumberFormat="1" applyFill="1"/>
    <xf numFmtId="4" fontId="25" fillId="0" borderId="0" xfId="5" applyNumberFormat="1" applyFill="1" applyAlignment="1">
      <alignment horizontal="right"/>
    </xf>
    <xf numFmtId="0" fontId="0" fillId="0" borderId="0" xfId="0" applyFill="1"/>
    <xf numFmtId="0" fontId="0" fillId="0" borderId="0" xfId="0" applyFill="1" applyBorder="1"/>
    <xf numFmtId="164" fontId="12" fillId="0" borderId="2" xfId="0" applyNumberFormat="1" applyFont="1" applyFill="1" applyBorder="1"/>
    <xf numFmtId="3" fontId="11" fillId="0" borderId="0" xfId="0" applyNumberFormat="1" applyFont="1"/>
    <xf numFmtId="3" fontId="12" fillId="0" borderId="0" xfId="0" applyNumberFormat="1" applyFont="1" applyBorder="1" applyAlignment="1"/>
    <xf numFmtId="1" fontId="29" fillId="0" borderId="0" xfId="7" applyNumberFormat="1" applyFont="1"/>
    <xf numFmtId="0" fontId="29" fillId="0" borderId="0" xfId="7" applyFont="1"/>
    <xf numFmtId="164" fontId="12" fillId="0" borderId="0" xfId="0" applyNumberFormat="1" applyFont="1" applyFill="1" applyBorder="1" applyAlignment="1">
      <alignment horizontal="right"/>
    </xf>
    <xf numFmtId="171" fontId="12" fillId="0" borderId="3" xfId="2" applyNumberFormat="1" applyFont="1" applyFill="1" applyBorder="1" applyAlignment="1">
      <alignment horizontal="right"/>
    </xf>
    <xf numFmtId="171" fontId="12" fillId="0" borderId="1" xfId="2" applyNumberFormat="1" applyFont="1" applyFill="1" applyBorder="1" applyAlignment="1">
      <alignment horizontal="right"/>
    </xf>
    <xf numFmtId="0" fontId="29" fillId="0" borderId="1" xfId="5" applyFont="1" applyBorder="1"/>
    <xf numFmtId="3" fontId="19" fillId="0" borderId="0" xfId="0" applyNumberFormat="1" applyFont="1" applyBorder="1"/>
    <xf numFmtId="3" fontId="21" fillId="0" borderId="0" xfId="0" applyNumberFormat="1" applyFont="1" applyFill="1" applyBorder="1"/>
    <xf numFmtId="3" fontId="10" fillId="0" borderId="0" xfId="0" applyNumberFormat="1" applyFont="1" applyFill="1"/>
    <xf numFmtId="3" fontId="31" fillId="0" borderId="0" xfId="0" applyNumberFormat="1" applyFont="1"/>
    <xf numFmtId="3" fontId="2" fillId="0" borderId="0" xfId="0" applyNumberFormat="1" applyFont="1" applyFill="1"/>
    <xf numFmtId="3" fontId="12" fillId="0" borderId="0" xfId="6" applyNumberFormat="1" applyFont="1" applyFill="1"/>
    <xf numFmtId="3" fontId="12" fillId="0" borderId="0" xfId="6" applyNumberFormat="1" applyFont="1"/>
    <xf numFmtId="3" fontId="12" fillId="0" borderId="0" xfId="6" quotePrefix="1" applyNumberFormat="1" applyFont="1" applyFill="1"/>
    <xf numFmtId="3" fontId="17" fillId="0" borderId="0" xfId="0" applyNumberFormat="1" applyFont="1" applyFill="1"/>
    <xf numFmtId="3" fontId="31" fillId="0" borderId="0" xfId="0" applyNumberFormat="1" applyFont="1" applyFill="1"/>
    <xf numFmtId="3" fontId="2" fillId="0" borderId="0" xfId="0" applyNumberFormat="1" applyFont="1"/>
    <xf numFmtId="167" fontId="2" fillId="0" borderId="0" xfId="4" applyNumberFormat="1" applyFont="1" applyFill="1"/>
    <xf numFmtId="3" fontId="4" fillId="0" borderId="0" xfId="0" applyNumberFormat="1" applyFont="1" applyFill="1"/>
    <xf numFmtId="0" fontId="31" fillId="0" borderId="0" xfId="0" applyFont="1"/>
    <xf numFmtId="0" fontId="32" fillId="0" borderId="0" xfId="0" applyFont="1"/>
    <xf numFmtId="0" fontId="3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2" fillId="0" borderId="0" xfId="0" applyNumberFormat="1" applyFont="1"/>
    <xf numFmtId="3" fontId="27" fillId="0" borderId="0" xfId="0" applyNumberFormat="1" applyFont="1" applyBorder="1"/>
    <xf numFmtId="3" fontId="12" fillId="0" borderId="0" xfId="0" applyNumberFormat="1" applyFont="1" applyFill="1" applyBorder="1" applyAlignment="1"/>
    <xf numFmtId="3" fontId="12" fillId="0" borderId="1" xfId="0" applyNumberFormat="1" applyFont="1" applyBorder="1" applyAlignment="1"/>
    <xf numFmtId="3" fontId="12" fillId="0" borderId="1" xfId="0" applyNumberFormat="1" applyFont="1" applyFill="1" applyBorder="1" applyAlignment="1"/>
    <xf numFmtId="3" fontId="12" fillId="0" borderId="2" xfId="0" applyNumberFormat="1" applyFont="1" applyFill="1" applyBorder="1" applyAlignment="1"/>
    <xf numFmtId="164" fontId="12" fillId="0" borderId="4" xfId="0" applyNumberFormat="1" applyFont="1" applyBorder="1"/>
    <xf numFmtId="4" fontId="12" fillId="0" borderId="0" xfId="0" applyNumberFormat="1" applyFont="1" applyFill="1"/>
    <xf numFmtId="4" fontId="3" fillId="0" borderId="0" xfId="0" applyNumberFormat="1" applyFont="1" applyAlignment="1">
      <alignment horizontal="right"/>
    </xf>
    <xf numFmtId="4" fontId="12" fillId="0" borderId="0" xfId="0" applyNumberFormat="1" applyFont="1"/>
    <xf numFmtId="170" fontId="2" fillId="0" borderId="0" xfId="0" applyNumberFormat="1" applyFont="1" applyFill="1"/>
    <xf numFmtId="170" fontId="5" fillId="0" borderId="0" xfId="0" applyNumberFormat="1" applyFont="1"/>
    <xf numFmtId="170" fontId="3" fillId="0" borderId="0" xfId="0" applyNumberFormat="1" applyFont="1" applyAlignment="1">
      <alignment horizontal="right"/>
    </xf>
    <xf numFmtId="171" fontId="12" fillId="0" borderId="0" xfId="2" applyNumberFormat="1" applyFont="1" applyAlignment="1"/>
    <xf numFmtId="171" fontId="12" fillId="0" borderId="0" xfId="2" applyNumberFormat="1" applyFont="1"/>
    <xf numFmtId="171" fontId="20" fillId="0" borderId="0" xfId="2" applyNumberFormat="1" applyFont="1"/>
    <xf numFmtId="171" fontId="3" fillId="0" borderId="0" xfId="2" applyNumberFormat="1" applyFont="1"/>
    <xf numFmtId="171" fontId="20" fillId="0" borderId="0" xfId="2" applyNumberFormat="1" applyFont="1" applyFill="1" applyBorder="1"/>
    <xf numFmtId="171" fontId="20" fillId="0" borderId="0" xfId="2" applyNumberFormat="1" applyFont="1" applyFill="1" applyBorder="1" applyAlignment="1">
      <alignment horizontal="right"/>
    </xf>
    <xf numFmtId="171" fontId="12" fillId="0" borderId="0" xfId="2" applyNumberFormat="1" applyFont="1" applyFill="1"/>
    <xf numFmtId="171" fontId="12" fillId="0" borderId="2" xfId="2" applyNumberFormat="1" applyFont="1" applyFill="1" applyBorder="1"/>
    <xf numFmtId="171" fontId="12" fillId="0" borderId="1" xfId="2" applyNumberFormat="1" applyFont="1" applyFill="1" applyBorder="1"/>
    <xf numFmtId="171" fontId="12" fillId="0" borderId="3" xfId="2" applyNumberFormat="1" applyFont="1" applyFill="1" applyBorder="1"/>
    <xf numFmtId="171" fontId="5" fillId="0" borderId="0" xfId="2" applyNumberFormat="1" applyFont="1"/>
    <xf numFmtId="171" fontId="20" fillId="0" borderId="0" xfId="2" applyNumberFormat="1" applyFont="1" applyFill="1" applyAlignment="1">
      <alignment horizontal="right"/>
    </xf>
    <xf numFmtId="49" fontId="20" fillId="0" borderId="0" xfId="0" applyNumberFormat="1" applyFont="1" applyAlignment="1">
      <alignment horizontal="right" wrapText="1"/>
    </xf>
    <xf numFmtId="171" fontId="12" fillId="0" borderId="1" xfId="2" quotePrefix="1" applyNumberFormat="1" applyFont="1" applyFill="1" applyBorder="1" applyAlignment="1">
      <alignment horizontal="right" wrapText="1"/>
    </xf>
    <xf numFmtId="0" fontId="10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3" fontId="16" fillId="0" borderId="0" xfId="0" applyNumberFormat="1" applyFont="1"/>
    <xf numFmtId="3" fontId="33" fillId="0" borderId="0" xfId="0" applyNumberFormat="1" applyFont="1"/>
    <xf numFmtId="0" fontId="2" fillId="0" borderId="0" xfId="5" applyFont="1"/>
    <xf numFmtId="4" fontId="2" fillId="0" borderId="0" xfId="5" applyNumberFormat="1" applyFont="1" applyFill="1" applyAlignment="1">
      <alignment horizontal="right"/>
    </xf>
    <xf numFmtId="0" fontId="0" fillId="0" borderId="0" xfId="0" applyNumberFormat="1"/>
    <xf numFmtId="4" fontId="2" fillId="0" borderId="0" xfId="5" applyNumberFormat="1" applyFont="1" applyFill="1"/>
    <xf numFmtId="0" fontId="0" fillId="0" borderId="0" xfId="0" applyNumberFormat="1" applyFill="1" applyBorder="1"/>
    <xf numFmtId="4" fontId="34" fillId="0" borderId="1" xfId="5" applyNumberFormat="1" applyFont="1" applyBorder="1" applyAlignment="1">
      <alignment horizontal="right"/>
    </xf>
    <xf numFmtId="4" fontId="34" fillId="0" borderId="0" xfId="5" applyNumberFormat="1" applyFont="1" applyFill="1" applyAlignment="1">
      <alignment horizontal="right"/>
    </xf>
    <xf numFmtId="4" fontId="34" fillId="0" borderId="0" xfId="5" applyNumberFormat="1" applyFont="1" applyAlignment="1">
      <alignment horizontal="right"/>
    </xf>
    <xf numFmtId="0" fontId="2" fillId="0" borderId="1" xfId="5" applyFont="1" applyBorder="1"/>
    <xf numFmtId="4" fontId="34" fillId="0" borderId="1" xfId="5" applyNumberFormat="1" applyFont="1" applyFill="1" applyBorder="1" applyAlignment="1">
      <alignment horizontal="right"/>
    </xf>
    <xf numFmtId="4" fontId="34" fillId="0" borderId="0" xfId="5" applyNumberFormat="1" applyFont="1" applyFill="1" applyBorder="1" applyAlignment="1">
      <alignment horizontal="right"/>
    </xf>
    <xf numFmtId="4" fontId="28" fillId="0" borderId="0" xfId="5" applyNumberFormat="1" applyFont="1" applyFill="1" applyBorder="1" applyAlignment="1">
      <alignment horizontal="right"/>
    </xf>
    <xf numFmtId="4" fontId="36" fillId="0" borderId="0" xfId="5" applyNumberFormat="1" applyFont="1" applyFill="1" applyBorder="1" applyAlignment="1">
      <alignment horizontal="right"/>
    </xf>
    <xf numFmtId="1" fontId="12" fillId="0" borderId="1" xfId="0" quotePrefix="1" applyNumberFormat="1" applyFont="1" applyBorder="1" applyAlignment="1">
      <alignment horizontal="right"/>
    </xf>
    <xf numFmtId="4" fontId="0" fillId="0" borderId="0" xfId="0" applyNumberFormat="1" applyFill="1" applyBorder="1"/>
    <xf numFmtId="0" fontId="11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8" fillId="0" borderId="0" xfId="0" applyNumberFormat="1" applyFont="1" applyFill="1" applyBorder="1"/>
    <xf numFmtId="0" fontId="5" fillId="0" borderId="0" xfId="0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164" fontId="12" fillId="0" borderId="1" xfId="0" applyNumberFormat="1" applyFont="1" applyFill="1" applyBorder="1"/>
    <xf numFmtId="164" fontId="12" fillId="0" borderId="0" xfId="0" applyNumberFormat="1" applyFont="1"/>
    <xf numFmtId="3" fontId="17" fillId="0" borderId="0" xfId="0" applyNumberFormat="1" applyFont="1"/>
    <xf numFmtId="0" fontId="20" fillId="0" borderId="0" xfId="3" applyFont="1"/>
    <xf numFmtId="0" fontId="12" fillId="0" borderId="0" xfId="3" applyFont="1" applyAlignment="1">
      <alignment vertical="center"/>
    </xf>
    <xf numFmtId="0" fontId="3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3" applyFont="1" applyAlignment="1">
      <alignment vertical="center"/>
    </xf>
    <xf numFmtId="3" fontId="12" fillId="0" borderId="2" xfId="0" applyNumberFormat="1" applyFont="1" applyBorder="1"/>
    <xf numFmtId="164" fontId="12" fillId="0" borderId="2" xfId="0" applyNumberFormat="1" applyFont="1" applyBorder="1"/>
    <xf numFmtId="164" fontId="12" fillId="0" borderId="0" xfId="0" applyNumberFormat="1" applyFont="1" applyBorder="1"/>
    <xf numFmtId="164" fontId="26" fillId="0" borderId="0" xfId="0" applyNumberFormat="1" applyFont="1" applyFill="1" applyBorder="1"/>
    <xf numFmtId="173" fontId="12" fillId="0" borderId="0" xfId="0" applyNumberFormat="1" applyFont="1" applyFill="1" applyBorder="1"/>
    <xf numFmtId="173" fontId="12" fillId="0" borderId="1" xfId="0" applyNumberFormat="1" applyFont="1" applyFill="1" applyBorder="1"/>
    <xf numFmtId="173" fontId="12" fillId="0" borderId="0" xfId="0" applyNumberFormat="1" applyFont="1" applyBorder="1"/>
    <xf numFmtId="173" fontId="26" fillId="0" borderId="0" xfId="0" applyNumberFormat="1" applyFont="1" applyFill="1" applyBorder="1"/>
    <xf numFmtId="173" fontId="12" fillId="0" borderId="2" xfId="0" applyNumberFormat="1" applyFont="1" applyFill="1" applyBorder="1"/>
    <xf numFmtId="164" fontId="12" fillId="0" borderId="1" xfId="0" applyNumberFormat="1" applyFont="1" applyBorder="1"/>
    <xf numFmtId="0" fontId="18" fillId="0" borderId="0" xfId="0" applyFont="1" applyAlignment="1">
      <alignment horizontal="left"/>
    </xf>
    <xf numFmtId="4" fontId="35" fillId="0" borderId="1" xfId="5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0" fillId="0" borderId="6" xfId="0" applyBorder="1"/>
    <xf numFmtId="0" fontId="0" fillId="0" borderId="6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2" xfId="0" applyNumberFormat="1" applyFill="1" applyBorder="1"/>
    <xf numFmtId="171" fontId="20" fillId="0" borderId="0" xfId="0" applyNumberFormat="1" applyFont="1"/>
    <xf numFmtId="0" fontId="0" fillId="0" borderId="12" xfId="0" applyNumberFormat="1" applyFont="1" applyBorder="1"/>
    <xf numFmtId="0" fontId="3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3" fillId="0" borderId="0" xfId="0" applyFont="1" applyBorder="1"/>
    <xf numFmtId="3" fontId="25" fillId="0" borderId="0" xfId="5" applyNumberFormat="1"/>
    <xf numFmtId="168" fontId="12" fillId="0" borderId="1" xfId="0" applyNumberFormat="1" applyFont="1" applyBorder="1"/>
    <xf numFmtId="4" fontId="2" fillId="0" borderId="0" xfId="5" applyNumberFormat="1" applyFont="1" applyFill="1" applyBorder="1" applyAlignment="1">
      <alignment horizontal="right"/>
    </xf>
    <xf numFmtId="0" fontId="39" fillId="0" borderId="0" xfId="0" applyNumberFormat="1" applyFont="1" applyFill="1" applyBorder="1"/>
    <xf numFmtId="3" fontId="0" fillId="0" borderId="0" xfId="0" applyNumberFormat="1"/>
    <xf numFmtId="0" fontId="0" fillId="0" borderId="0" xfId="0" applyBorder="1"/>
    <xf numFmtId="0" fontId="39" fillId="0" borderId="0" xfId="0" applyFont="1"/>
    <xf numFmtId="164" fontId="12" fillId="0" borderId="0" xfId="0" applyNumberFormat="1" applyFont="1" applyAlignment="1">
      <alignment horizontal="right"/>
    </xf>
    <xf numFmtId="164" fontId="12" fillId="0" borderId="2" xfId="0" applyNumberFormat="1" applyFont="1" applyBorder="1" applyAlignment="1">
      <alignment horizontal="right"/>
    </xf>
    <xf numFmtId="0" fontId="12" fillId="0" borderId="4" xfId="0" applyFont="1" applyBorder="1" applyAlignment="1">
      <alignment vertical="center"/>
    </xf>
    <xf numFmtId="166" fontId="12" fillId="0" borderId="0" xfId="2" applyFont="1" applyFill="1" applyBorder="1"/>
    <xf numFmtId="0" fontId="25" fillId="0" borderId="0" xfId="5" applyBorder="1"/>
    <xf numFmtId="3" fontId="25" fillId="0" borderId="0" xfId="5" applyNumberFormat="1" applyBorder="1"/>
    <xf numFmtId="4" fontId="25" fillId="0" borderId="0" xfId="5" applyNumberFormat="1" applyBorder="1"/>
    <xf numFmtId="164" fontId="12" fillId="0" borderId="1" xfId="0" applyNumberFormat="1" applyFont="1" applyBorder="1" applyAlignment="1">
      <alignment horizontal="right"/>
    </xf>
    <xf numFmtId="3" fontId="16" fillId="0" borderId="0" xfId="0" applyNumberFormat="1" applyFont="1" applyBorder="1"/>
    <xf numFmtId="0" fontId="41" fillId="0" borderId="0" xfId="0" applyFont="1" applyAlignment="1">
      <alignment vertical="center"/>
    </xf>
    <xf numFmtId="3" fontId="0" fillId="0" borderId="0" xfId="0" applyNumberFormat="1" applyFont="1"/>
    <xf numFmtId="0" fontId="12" fillId="0" borderId="0" xfId="0" applyFont="1" applyFill="1" applyBorder="1" applyAlignment="1">
      <alignment horizontal="center"/>
    </xf>
    <xf numFmtId="171" fontId="12" fillId="0" borderId="0" xfId="0" applyNumberFormat="1" applyFont="1"/>
    <xf numFmtId="0" fontId="12" fillId="0" borderId="0" xfId="0" applyFont="1" applyBorder="1" applyAlignment="1">
      <alignment horizontal="right"/>
    </xf>
    <xf numFmtId="0" fontId="0" fillId="0" borderId="11" xfId="0" applyFill="1" applyBorder="1"/>
    <xf numFmtId="0" fontId="0" fillId="0" borderId="11" xfId="0" applyNumberFormat="1" applyFill="1" applyBorder="1"/>
    <xf numFmtId="0" fontId="0" fillId="0" borderId="0" xfId="0" applyNumberFormat="1" applyFill="1"/>
    <xf numFmtId="171" fontId="12" fillId="3" borderId="1" xfId="2" applyNumberFormat="1" applyFont="1" applyFill="1" applyBorder="1" applyAlignment="1">
      <alignment horizontal="right" wrapText="1"/>
    </xf>
    <xf numFmtId="3" fontId="12" fillId="0" borderId="0" xfId="2" applyNumberFormat="1" applyFont="1" applyFill="1" applyBorder="1"/>
    <xf numFmtId="0" fontId="0" fillId="0" borderId="0" xfId="0" applyFont="1"/>
    <xf numFmtId="0" fontId="12" fillId="0" borderId="16" xfId="0" applyFont="1" applyBorder="1" applyAlignment="1">
      <alignment horizontal="center"/>
    </xf>
    <xf numFmtId="0" fontId="12" fillId="0" borderId="17" xfId="0" applyFont="1" applyBorder="1"/>
    <xf numFmtId="171" fontId="12" fillId="0" borderId="1" xfId="8" applyNumberFormat="1" applyFont="1" applyFill="1" applyBorder="1" applyAlignment="1">
      <alignment horizontal="right"/>
    </xf>
    <xf numFmtId="0" fontId="42" fillId="0" borderId="0" xfId="0" quotePrefix="1" applyFont="1"/>
    <xf numFmtId="4" fontId="40" fillId="0" borderId="0" xfId="5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/>
    <xf numFmtId="0" fontId="29" fillId="2" borderId="0" xfId="7" applyFont="1" applyFill="1"/>
    <xf numFmtId="4" fontId="34" fillId="2" borderId="0" xfId="5" applyNumberFormat="1" applyFont="1" applyFill="1" applyBorder="1" applyAlignment="1">
      <alignment horizontal="right"/>
    </xf>
    <xf numFmtId="4" fontId="43" fillId="0" borderId="0" xfId="5" applyNumberFormat="1" applyFont="1" applyFill="1" applyBorder="1" applyAlignment="1">
      <alignment horizontal="right"/>
    </xf>
    <xf numFmtId="171" fontId="12" fillId="0" borderId="0" xfId="2" applyNumberFormat="1" applyFont="1" applyFill="1" applyBorder="1" applyAlignment="1">
      <alignment horizontal="right" wrapText="1"/>
    </xf>
    <xf numFmtId="171" fontId="5" fillId="0" borderId="0" xfId="2" applyNumberFormat="1" applyFont="1" applyFill="1" applyBorder="1"/>
    <xf numFmtId="3" fontId="12" fillId="0" borderId="17" xfId="0" applyNumberFormat="1" applyFont="1" applyBorder="1"/>
    <xf numFmtId="3" fontId="12" fillId="0" borderId="19" xfId="0" applyNumberFormat="1" applyFont="1" applyBorder="1"/>
    <xf numFmtId="3" fontId="11" fillId="5" borderId="5" xfId="0" applyNumberFormat="1" applyFont="1" applyFill="1" applyBorder="1"/>
    <xf numFmtId="0" fontId="44" fillId="0" borderId="1" xfId="5" applyFont="1" applyFill="1" applyBorder="1"/>
    <xf numFmtId="4" fontId="44" fillId="0" borderId="1" xfId="5" applyNumberFormat="1" applyFont="1" applyFill="1" applyBorder="1" applyAlignment="1">
      <alignment horizontal="right"/>
    </xf>
    <xf numFmtId="4" fontId="45" fillId="0" borderId="1" xfId="5" applyNumberFormat="1" applyFont="1" applyFill="1" applyBorder="1" applyAlignment="1">
      <alignment horizontal="right"/>
    </xf>
    <xf numFmtId="0" fontId="45" fillId="0" borderId="0" xfId="5" applyFont="1"/>
    <xf numFmtId="1" fontId="44" fillId="0" borderId="0" xfId="5" applyNumberFormat="1" applyFont="1"/>
    <xf numFmtId="0" fontId="44" fillId="0" borderId="0" xfId="5" applyFont="1"/>
    <xf numFmtId="4" fontId="44" fillId="0" borderId="0" xfId="5" applyNumberFormat="1" applyFont="1" applyFill="1" applyAlignment="1">
      <alignment horizontal="right"/>
    </xf>
    <xf numFmtId="4" fontId="45" fillId="0" borderId="0" xfId="5" applyNumberFormat="1" applyFont="1" applyFill="1"/>
    <xf numFmtId="4" fontId="44" fillId="2" borderId="0" xfId="5" applyNumberFormat="1" applyFont="1" applyFill="1"/>
    <xf numFmtId="4" fontId="44" fillId="0" borderId="0" xfId="5" applyNumberFormat="1" applyFont="1" applyFill="1"/>
    <xf numFmtId="0" fontId="44" fillId="0" borderId="0" xfId="0" applyFont="1"/>
    <xf numFmtId="4" fontId="45" fillId="0" borderId="0" xfId="5" applyNumberFormat="1" applyFont="1"/>
    <xf numFmtId="1" fontId="44" fillId="0" borderId="0" xfId="5" applyNumberFormat="1" applyFont="1" applyFill="1"/>
    <xf numFmtId="0" fontId="44" fillId="0" borderId="0" xfId="5" applyFont="1" applyFill="1"/>
    <xf numFmtId="0" fontId="45" fillId="0" borderId="0" xfId="5" applyFont="1" applyFill="1"/>
    <xf numFmtId="0" fontId="44" fillId="2" borderId="0" xfId="5" applyFont="1" applyFill="1"/>
    <xf numFmtId="4" fontId="45" fillId="2" borderId="0" xfId="5" applyNumberFormat="1" applyFont="1" applyFill="1"/>
    <xf numFmtId="0" fontId="45" fillId="2" borderId="0" xfId="5" applyFont="1" applyFill="1"/>
    <xf numFmtId="3" fontId="44" fillId="0" borderId="0" xfId="0" applyNumberFormat="1" applyFont="1" applyFill="1" applyBorder="1"/>
    <xf numFmtId="3" fontId="46" fillId="0" borderId="0" xfId="0" applyNumberFormat="1" applyFont="1" applyBorder="1"/>
    <xf numFmtId="1" fontId="47" fillId="0" borderId="0" xfId="5" applyNumberFormat="1" applyFont="1" applyFill="1"/>
    <xf numFmtId="4" fontId="47" fillId="0" borderId="0" xfId="5" applyNumberFormat="1" applyFont="1" applyFill="1"/>
    <xf numFmtId="3" fontId="44" fillId="0" borderId="0" xfId="0" applyNumberFormat="1" applyFont="1" applyBorder="1"/>
    <xf numFmtId="4" fontId="48" fillId="0" borderId="0" xfId="5" applyNumberFormat="1" applyFont="1" applyFill="1"/>
    <xf numFmtId="0" fontId="48" fillId="0" borderId="0" xfId="5" applyFont="1"/>
    <xf numFmtId="3" fontId="44" fillId="0" borderId="0" xfId="0" applyNumberFormat="1" applyFont="1"/>
    <xf numFmtId="0" fontId="44" fillId="0" borderId="0" xfId="0" applyFont="1" applyFill="1"/>
    <xf numFmtId="3" fontId="44" fillId="0" borderId="0" xfId="0" applyNumberFormat="1" applyFont="1" applyFill="1"/>
    <xf numFmtId="1" fontId="48" fillId="0" borderId="0" xfId="5" applyNumberFormat="1" applyFont="1"/>
    <xf numFmtId="4" fontId="45" fillId="0" borderId="0" xfId="5" applyNumberFormat="1" applyFont="1" applyFill="1" applyAlignment="1">
      <alignment horizontal="right"/>
    </xf>
    <xf numFmtId="0" fontId="44" fillId="0" borderId="0" xfId="7" applyFont="1" applyFill="1"/>
    <xf numFmtId="4" fontId="47" fillId="2" borderId="0" xfId="5" applyNumberFormat="1" applyFont="1" applyFill="1"/>
    <xf numFmtId="0" fontId="44" fillId="4" borderId="0" xfId="7" applyFont="1" applyFill="1"/>
    <xf numFmtId="4" fontId="44" fillId="4" borderId="0" xfId="5" applyNumberFormat="1" applyFont="1" applyFill="1" applyAlignment="1">
      <alignment horizontal="right"/>
    </xf>
    <xf numFmtId="4" fontId="47" fillId="0" borderId="0" xfId="5" applyNumberFormat="1" applyFont="1" applyFill="1" applyAlignment="1">
      <alignment horizontal="right"/>
    </xf>
    <xf numFmtId="4" fontId="49" fillId="0" borderId="0" xfId="5" applyNumberFormat="1" applyFont="1" applyFill="1" applyAlignment="1">
      <alignment horizontal="right"/>
    </xf>
    <xf numFmtId="4" fontId="50" fillId="0" borderId="0" xfId="5" applyNumberFormat="1" applyFont="1" applyFill="1" applyAlignment="1">
      <alignment horizontal="right"/>
    </xf>
    <xf numFmtId="4" fontId="51" fillId="0" borderId="0" xfId="5" applyNumberFormat="1" applyFont="1" applyFill="1" applyAlignment="1">
      <alignment horizontal="right"/>
    </xf>
    <xf numFmtId="1" fontId="44" fillId="0" borderId="0" xfId="7" applyNumberFormat="1" applyFont="1" applyFill="1"/>
    <xf numFmtId="0" fontId="48" fillId="0" borderId="0" xfId="0" applyFont="1"/>
    <xf numFmtId="4" fontId="45" fillId="0" borderId="0" xfId="5" applyNumberFormat="1" applyFont="1" applyAlignment="1">
      <alignment horizontal="right"/>
    </xf>
    <xf numFmtId="4" fontId="45" fillId="0" borderId="0" xfId="5" applyNumberFormat="1" applyFont="1" applyAlignment="1">
      <alignment horizontal="center"/>
    </xf>
    <xf numFmtId="0" fontId="45" fillId="0" borderId="0" xfId="5" applyFont="1" applyAlignment="1">
      <alignment horizontal="center"/>
    </xf>
    <xf numFmtId="0" fontId="46" fillId="0" borderId="0" xfId="5" applyFont="1"/>
    <xf numFmtId="4" fontId="46" fillId="0" borderId="0" xfId="5" applyNumberFormat="1" applyFont="1" applyFill="1" applyAlignment="1">
      <alignment horizontal="right"/>
    </xf>
    <xf numFmtId="4" fontId="46" fillId="2" borderId="5" xfId="5" applyNumberFormat="1" applyFont="1" applyFill="1" applyBorder="1"/>
    <xf numFmtId="4" fontId="46" fillId="0" borderId="0" xfId="5" applyNumberFormat="1" applyFont="1" applyFill="1" applyBorder="1"/>
    <xf numFmtId="0" fontId="52" fillId="0" borderId="0" xfId="5" applyFont="1" applyAlignment="1">
      <alignment horizontal="center"/>
    </xf>
    <xf numFmtId="0" fontId="52" fillId="0" borderId="0" xfId="5" applyFont="1"/>
    <xf numFmtId="4" fontId="52" fillId="0" borderId="0" xfId="5" applyNumberFormat="1" applyFont="1" applyFill="1" applyAlignment="1">
      <alignment horizontal="right"/>
    </xf>
    <xf numFmtId="4" fontId="52" fillId="0" borderId="0" xfId="5" applyNumberFormat="1" applyFont="1" applyFill="1"/>
    <xf numFmtId="4" fontId="46" fillId="2" borderId="0" xfId="5" applyNumberFormat="1" applyFont="1" applyFill="1"/>
    <xf numFmtId="4" fontId="46" fillId="0" borderId="0" xfId="5" applyNumberFormat="1" applyFont="1" applyFill="1"/>
    <xf numFmtId="4" fontId="46" fillId="2" borderId="0" xfId="5" applyNumberFormat="1" applyFont="1" applyFill="1" applyAlignment="1">
      <alignment horizontal="right"/>
    </xf>
    <xf numFmtId="0" fontId="45" fillId="0" borderId="0" xfId="5" applyFont="1" applyFill="1" applyAlignment="1">
      <alignment horizontal="center"/>
    </xf>
    <xf numFmtId="4" fontId="44" fillId="2" borderId="0" xfId="5" applyNumberFormat="1" applyFont="1" applyFill="1" applyBorder="1"/>
    <xf numFmtId="1" fontId="44" fillId="2" borderId="0" xfId="5" applyNumberFormat="1" applyFont="1" applyFill="1" applyBorder="1"/>
    <xf numFmtId="4" fontId="44" fillId="2" borderId="0" xfId="5" applyNumberFormat="1" applyFont="1" applyFill="1" applyBorder="1" applyAlignment="1">
      <alignment horizontal="right"/>
    </xf>
    <xf numFmtId="0" fontId="44" fillId="2" borderId="0" xfId="5" applyFont="1" applyFill="1" applyBorder="1"/>
    <xf numFmtId="3" fontId="45" fillId="0" borderId="0" xfId="5" applyNumberFormat="1" applyFont="1"/>
    <xf numFmtId="3" fontId="44" fillId="0" borderId="0" xfId="5" applyNumberFormat="1" applyFont="1" applyFill="1" applyAlignment="1">
      <alignment horizontal="right"/>
    </xf>
    <xf numFmtId="3" fontId="45" fillId="0" borderId="0" xfId="5" applyNumberFormat="1" applyFont="1" applyFill="1" applyAlignment="1">
      <alignment horizontal="right"/>
    </xf>
    <xf numFmtId="4" fontId="45" fillId="0" borderId="1" xfId="5" applyNumberFormat="1" applyFont="1" applyFill="1" applyBorder="1"/>
    <xf numFmtId="4" fontId="44" fillId="2" borderId="1" xfId="5" applyNumberFormat="1" applyFont="1" applyFill="1" applyBorder="1" applyAlignment="1">
      <alignment horizontal="right"/>
    </xf>
    <xf numFmtId="1" fontId="45" fillId="0" borderId="0" xfId="5" applyNumberFormat="1" applyFont="1"/>
    <xf numFmtId="1" fontId="45" fillId="0" borderId="0" xfId="7" applyNumberFormat="1" applyFont="1" applyFill="1"/>
    <xf numFmtId="0" fontId="45" fillId="0" borderId="0" xfId="7" applyFont="1" applyFill="1"/>
    <xf numFmtId="171" fontId="12" fillId="0" borderId="0" xfId="8" applyNumberFormat="1" applyFont="1" applyFill="1" applyAlignment="1">
      <alignment horizontal="right"/>
    </xf>
    <xf numFmtId="171" fontId="12" fillId="0" borderId="0" xfId="8" applyNumberFormat="1" applyFont="1" applyFill="1" applyBorder="1" applyAlignment="1">
      <alignment horizontal="right"/>
    </xf>
    <xf numFmtId="171" fontId="12" fillId="0" borderId="0" xfId="8" applyNumberFormat="1" applyFont="1" applyFill="1" applyBorder="1"/>
    <xf numFmtId="171" fontId="12" fillId="0" borderId="1" xfId="8" applyNumberFormat="1" applyFont="1" applyFill="1" applyBorder="1"/>
    <xf numFmtId="3" fontId="12" fillId="0" borderId="18" xfId="0" applyNumberFormat="1" applyFont="1" applyBorder="1"/>
    <xf numFmtId="171" fontId="12" fillId="0" borderId="0" xfId="2" applyNumberFormat="1" applyFont="1" applyFill="1" applyBorder="1" applyAlignment="1">
      <alignment horizontal="left"/>
    </xf>
    <xf numFmtId="4" fontId="44" fillId="6" borderId="0" xfId="5" applyNumberFormat="1" applyFont="1" applyFill="1"/>
    <xf numFmtId="4" fontId="45" fillId="6" borderId="0" xfId="5" applyNumberFormat="1" applyFont="1" applyFill="1"/>
    <xf numFmtId="4" fontId="47" fillId="6" borderId="0" xfId="5" applyNumberFormat="1" applyFont="1" applyFill="1"/>
    <xf numFmtId="3" fontId="12" fillId="0" borderId="17" xfId="0" applyNumberFormat="1" applyFont="1" applyFill="1" applyBorder="1"/>
    <xf numFmtId="3" fontId="12" fillId="0" borderId="19" xfId="0" applyNumberFormat="1" applyFont="1" applyFill="1" applyBorder="1"/>
    <xf numFmtId="3" fontId="12" fillId="0" borderId="18" xfId="0" applyNumberFormat="1" applyFont="1" applyFill="1" applyBorder="1"/>
    <xf numFmtId="4" fontId="40" fillId="2" borderId="0" xfId="5" applyNumberFormat="1" applyFont="1" applyFill="1" applyBorder="1" applyAlignment="1">
      <alignment horizontal="right"/>
    </xf>
    <xf numFmtId="171" fontId="12" fillId="2" borderId="0" xfId="2" applyNumberFormat="1" applyFont="1" applyFill="1" applyBorder="1" applyAlignment="1">
      <alignment horizontal="right"/>
    </xf>
    <xf numFmtId="171" fontId="12" fillId="0" borderId="1" xfId="2" applyNumberFormat="1" applyFont="1" applyFill="1" applyBorder="1" applyAlignment="1">
      <alignment horizontal="right" wrapText="1"/>
    </xf>
    <xf numFmtId="3" fontId="12" fillId="0" borderId="5" xfId="0" applyNumberFormat="1" applyFont="1" applyFill="1" applyBorder="1" applyAlignment="1">
      <alignment horizontal="right"/>
    </xf>
    <xf numFmtId="3" fontId="12" fillId="0" borderId="16" xfId="0" applyNumberFormat="1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171" fontId="12" fillId="0" borderId="17" xfId="2" applyNumberFormat="1" applyFont="1" applyFill="1" applyBorder="1" applyAlignment="1">
      <alignment horizontal="right"/>
    </xf>
    <xf numFmtId="171" fontId="12" fillId="0" borderId="19" xfId="2" applyNumberFormat="1" applyFont="1" applyFill="1" applyBorder="1" applyAlignment="1">
      <alignment horizontal="right"/>
    </xf>
    <xf numFmtId="171" fontId="12" fillId="0" borderId="18" xfId="2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17" xfId="0" applyFont="1" applyFill="1" applyBorder="1"/>
    <xf numFmtId="171" fontId="12" fillId="4" borderId="1" xfId="2" applyNumberFormat="1" applyFont="1" applyFill="1" applyBorder="1" applyAlignment="1">
      <alignment horizontal="right" wrapText="1"/>
    </xf>
    <xf numFmtId="171" fontId="12" fillId="2" borderId="0" xfId="2" applyNumberFormat="1" applyFont="1" applyFill="1"/>
    <xf numFmtId="3" fontId="12" fillId="4" borderId="5" xfId="0" applyNumberFormat="1" applyFont="1" applyFill="1" applyBorder="1" applyAlignment="1">
      <alignment horizontal="right"/>
    </xf>
    <xf numFmtId="3" fontId="12" fillId="0" borderId="17" xfId="0" applyNumberFormat="1" applyFont="1" applyBorder="1" applyAlignment="1">
      <alignment horizontal="center"/>
    </xf>
    <xf numFmtId="3" fontId="1" fillId="0" borderId="0" xfId="0" applyNumberFormat="1" applyFont="1"/>
    <xf numFmtId="171" fontId="12" fillId="2" borderId="1" xfId="2" applyNumberFormat="1" applyFont="1" applyFill="1" applyBorder="1" applyAlignment="1">
      <alignment horizontal="right"/>
    </xf>
    <xf numFmtId="171" fontId="12" fillId="0" borderId="0" xfId="2" applyNumberFormat="1" applyFont="1" applyFill="1" applyBorder="1" applyAlignment="1">
      <alignment horizontal="left" vertical="top"/>
    </xf>
    <xf numFmtId="174" fontId="12" fillId="0" borderId="0" xfId="0" applyNumberFormat="1" applyFont="1" applyFill="1" applyBorder="1"/>
    <xf numFmtId="1" fontId="5" fillId="0" borderId="0" xfId="0" applyNumberFormat="1" applyFont="1" applyBorder="1"/>
    <xf numFmtId="1" fontId="5" fillId="0" borderId="0" xfId="0" applyNumberFormat="1" applyFont="1"/>
    <xf numFmtId="0" fontId="1" fillId="0" borderId="0" xfId="0" applyFont="1"/>
    <xf numFmtId="1" fontId="12" fillId="0" borderId="0" xfId="2" applyNumberFormat="1" applyFont="1" applyFill="1" applyBorder="1"/>
    <xf numFmtId="171" fontId="12" fillId="0" borderId="0" xfId="2" applyNumberFormat="1" applyFont="1" applyFill="1" applyBorder="1" applyAlignment="1"/>
    <xf numFmtId="171" fontId="12" fillId="2" borderId="0" xfId="2" applyNumberFormat="1" applyFont="1" applyFill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left"/>
    </xf>
    <xf numFmtId="171" fontId="5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1" xfId="0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172" fontId="12" fillId="0" borderId="1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3" applyFont="1" applyAlignment="1">
      <alignment horizontal="center" vertical="center" wrapText="1"/>
    </xf>
    <xf numFmtId="0" fontId="12" fillId="0" borderId="0" xfId="3" applyNumberFormat="1" applyFont="1" applyAlignment="1">
      <alignment vertical="center" wrapText="1"/>
    </xf>
    <xf numFmtId="3" fontId="12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right" wrapText="1"/>
    </xf>
  </cellXfs>
  <cellStyles count="10">
    <cellStyle name="Euro" xfId="1" xr:uid="{00000000-0005-0000-0000-000000000000}"/>
    <cellStyle name="Euro 2" xfId="9" xr:uid="{00000000-0005-0000-0000-000001000000}"/>
    <cellStyle name="Komma" xfId="2" builtinId="3"/>
    <cellStyle name="Komma 2" xfId="8" xr:uid="{00000000-0005-0000-0000-000003000000}"/>
    <cellStyle name="Normal 2" xfId="3" xr:uid="{00000000-0005-0000-0000-000004000000}"/>
    <cellStyle name="Procent" xfId="4" builtinId="5"/>
    <cellStyle name="Standaard" xfId="0" builtinId="0"/>
    <cellStyle name="Standaard_Invoer saldibalans" xfId="5" xr:uid="{00000000-0005-0000-0000-000007000000}"/>
    <cellStyle name="Standaard_Model jaarrekening RJ640 Stichtingen en Verenigingen versie 20071217" xfId="6" xr:uid="{00000000-0005-0000-0000-000008000000}"/>
    <cellStyle name="Standaard_Normale balans" xfId="7" xr:uid="{00000000-0005-0000-0000-000009000000}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/>
      </fill>
    </dxf>
    <dxf>
      <fill>
        <patternFill patternType="solid">
          <bgColor indexed="14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</xdr:row>
      <xdr:rowOff>171450</xdr:rowOff>
    </xdr:from>
    <xdr:to>
      <xdr:col>8</xdr:col>
      <xdr:colOff>590550</xdr:colOff>
      <xdr:row>20</xdr:row>
      <xdr:rowOff>104775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5DEBFA0-AB26-43EF-9734-51E72C0D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857250"/>
          <a:ext cx="5667375" cy="470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27</xdr:row>
      <xdr:rowOff>190502</xdr:rowOff>
    </xdr:from>
    <xdr:to>
      <xdr:col>2</xdr:col>
      <xdr:colOff>609597</xdr:colOff>
      <xdr:row>29</xdr:row>
      <xdr:rowOff>180976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7" y="5705477"/>
          <a:ext cx="1952620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523875</xdr:colOff>
      <xdr:row>26</xdr:row>
      <xdr:rowOff>142875</xdr:rowOff>
    </xdr:from>
    <xdr:to>
      <xdr:col>8</xdr:col>
      <xdr:colOff>552450</xdr:colOff>
      <xdr:row>30</xdr:row>
      <xdr:rowOff>114300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457825"/>
          <a:ext cx="20859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bonden-my.sharepoint.com/Documents%20and%20Settings/mariska.lagerweij/Local%20Settings/Temporary%20Internet%20Files/OLK1/Jaarrek%202011%20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 met subtotalen"/>
      <sheetName val="Voorblad"/>
      <sheetName val="Inhoud"/>
      <sheetName val="Resultatananalyse per Q versus"/>
      <sheetName val="Resultatenanalyse"/>
      <sheetName val="Financiële positie"/>
      <sheetName val="Exploitatie"/>
      <sheetName val="Balans"/>
      <sheetName val="Kasstroomoverzicht"/>
      <sheetName val="Grondslagen"/>
      <sheetName val="Toelichting_balans"/>
      <sheetName val="Toelichting_expl"/>
      <sheetName val="Spec toppsort G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Grondslagen van de financiële verslaggeving</v>
          </cell>
        </row>
      </sheetData>
      <sheetData sheetId="10">
        <row r="1">
          <cell r="A1" t="str">
            <v>Toelichting op de balans</v>
          </cell>
        </row>
      </sheetData>
      <sheetData sheetId="11">
        <row r="2">
          <cell r="A2" t="str">
            <v>Toelichting op de staat van baten en lasten</v>
          </cell>
        </row>
      </sheetData>
      <sheetData sheetId="1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ska Lagerweij" refreshedDate="41526.660006481485" createdVersion="1" refreshedVersion="4" recordCount="396" xr:uid="{00000000-000A-0000-FFFF-FFFF00000000}">
  <cacheSource type="worksheet">
    <worksheetSource ref="B2:I6" sheet="Invoer met subtotalen"/>
  </cacheSource>
  <cacheFields count="8">
    <cacheField name="Rek.nr" numFmtId="0">
      <sharedItems containsBlank="1" containsMixedTypes="1" containsNumber="1" containsInteger="1" minValue="100" maxValue="540090007"/>
    </cacheField>
    <cacheField name="Rekeningnaam" numFmtId="0">
      <sharedItems containsBlank="1"/>
    </cacheField>
    <cacheField name="Debet Eur" numFmtId="4">
      <sharedItems containsString="0" containsBlank="1" containsNumber="1" minValue="-9.9999995436519384E-3" maxValue="1697445.21"/>
    </cacheField>
    <cacheField name="Credit Eur" numFmtId="4">
      <sharedItems containsString="0" containsBlank="1" containsNumber="1" minValue="0" maxValue="1697445.21"/>
    </cacheField>
    <cacheField name="VJP's" numFmtId="4">
      <sharedItems containsString="0" containsBlank="1" containsNumber="1" minValue="-11000" maxValue="11000"/>
    </cacheField>
    <cacheField name="§" numFmtId="0">
      <sharedItems containsString="0" containsBlank="1" containsNumber="1" minValue="-268950.5" maxValue="251132.5"/>
    </cacheField>
    <cacheField name="Rubriek" numFmtId="0">
      <sharedItems containsNonDate="0" containsString="0" containsBlank="1"/>
    </cacheField>
    <cacheField name="rubriek_jrk" numFmtId="0">
      <sharedItems containsBlank="1" count="59">
        <s v="Inventaris / apparatuur"/>
        <s v="Voorraden Kiwami Kleding"/>
        <s v="Overige reserve"/>
        <s v="Bestemmings reserve"/>
        <s v="Overige schulden en overlopende passiva"/>
        <s v="Liquide middelen"/>
        <s v="Overige vorderingen en overlopende activa"/>
        <s v="Crediteuren"/>
        <s v="Belastingen en premies sociale"/>
        <s v="Personeelskosten"/>
        <s v="Breedtesport"/>
        <s v="Topsport en medisch "/>
        <s v="Huisvestingskosten"/>
        <s v="Kantoorkosten"/>
        <s v="Rentelasten"/>
        <s v="Overige baten "/>
        <s v="Algemene kosten"/>
        <s v="Jubileumkosten"/>
        <s v="Evenementen en verzekeringen"/>
        <s v="PR en communicatie"/>
        <s v="Eredivisie"/>
        <m/>
        <s v="Afschrijvingen"/>
        <s v="Kader"/>
        <s v="Opleidingsbijdrage"/>
        <s v="Contributies"/>
        <s v="Inkomsten evenementen"/>
        <s v="Subsidies"/>
        <s v="Bondsorgaan"/>
        <s v="Rentebaten"/>
        <s v="Overige kosten evenementen en verzekeringen" u="1"/>
        <s v="Bondsbestuur" u="1"/>
        <s v="Juridisch advies" u="1"/>
        <s v="Topsport bijscholing/werkgroep" u="1"/>
        <s v="Voorraden medailles" u="1"/>
        <s v="Begeleiding/Topsport personeel" u="1"/>
        <s v="Porti" u="1"/>
        <s v="Kosten circuits" u="1"/>
        <s v="Kosten evenementen" u="1"/>
        <s v="Kantoorbenodigdheden" u="1"/>
        <s v="RTC Almere" u="1"/>
        <s v="Accountantskosten" u="1"/>
        <s v="Medailles" u="1"/>
        <s v="Overige algemene kosten" u="1"/>
        <s v="Contributies en abonnementen" u="1"/>
        <s v="Trainersopleidingen" u="1"/>
        <s v="Eigen bijdrage atleten" u="1"/>
        <s v="Automatisering" u="1"/>
        <s v="Verzekeringen" u="1"/>
        <s v="Kosten officials en consulkosten" u="1"/>
        <s v="Deelname ETU/ITU-congressen" u="1"/>
        <s v="Kopieerkosten" u="1"/>
        <s v="Telefoon" u="1"/>
        <s v="Directe kosten leden" u="1"/>
        <s v="Materiaal" u="1"/>
        <s v="Lidmaatschap overkoepelende organisaties" u="1"/>
        <s v="NTC" u="1"/>
        <s v="Doorbelasting breedtesport&gt; kader" u="1"/>
        <s v="Project extra sportief Londo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6">
  <r>
    <n v="100"/>
    <s v="Inventaris"/>
    <n v="54268.840000000004"/>
    <n v="2853"/>
    <m/>
    <n v="51415.840000000004"/>
    <m/>
    <x v="0"/>
  </r>
  <r>
    <n v="100"/>
    <s v="Inventaris"/>
    <n v="3068.71"/>
    <n v="0"/>
    <m/>
    <n v="3068.71"/>
    <m/>
    <x v="0"/>
  </r>
  <r>
    <n v="101"/>
    <s v="Afschrijvingen inventaris"/>
    <n v="0"/>
    <n v="45033.75"/>
    <m/>
    <n v="-45033.75"/>
    <m/>
    <x v="0"/>
  </r>
  <r>
    <n v="200"/>
    <s v="Medailles"/>
    <n v="0"/>
    <n v="0"/>
    <m/>
    <n v="0"/>
    <m/>
    <x v="0"/>
  </r>
  <r>
    <n v="300"/>
    <s v="Voorraden"/>
    <n v="8557.5499999999993"/>
    <n v="0"/>
    <m/>
    <n v="8557.5499999999993"/>
    <m/>
    <x v="1"/>
  </r>
  <r>
    <n v="301"/>
    <s v="Voorraad Trinergy"/>
    <n v="7145.29"/>
    <n v="0"/>
    <m/>
    <n v="7145.29"/>
    <m/>
    <x v="1"/>
  </r>
  <r>
    <n v="302"/>
    <s v="Voorraad Amphibian"/>
    <n v="4097.0600000000004"/>
    <n v="0"/>
    <m/>
    <n v="4097.0600000000004"/>
    <m/>
    <x v="1"/>
  </r>
  <r>
    <n v="303"/>
    <s v="Voorraad Amphibian Open"/>
    <n v="0"/>
    <n v="0"/>
    <m/>
    <n v="0"/>
    <m/>
    <x v="1"/>
  </r>
  <r>
    <n v="304"/>
    <s v="Voorraad Track Suit"/>
    <n v="4589.17"/>
    <n v="0"/>
    <m/>
    <n v="4589.17"/>
    <m/>
    <x v="1"/>
  </r>
  <r>
    <n v="306"/>
    <s v="Voorraad Topsport Kleding"/>
    <n v="8355.2999999999993"/>
    <n v="0"/>
    <m/>
    <n v="8355.2999999999993"/>
    <m/>
    <x v="1"/>
  </r>
  <r>
    <n v="900"/>
    <s v="Algemene reserve"/>
    <n v="0"/>
    <n v="164274.85999999999"/>
    <m/>
    <n v="-164274.85999999999"/>
    <m/>
    <x v="2"/>
  </r>
  <r>
    <n v="902"/>
    <s v="Bestemmings reserve"/>
    <n v="0"/>
    <n v="0"/>
    <m/>
    <n v="0"/>
    <m/>
    <x v="3"/>
  </r>
  <r>
    <n v="980"/>
    <s v="Vakantiegeldverplichtingen"/>
    <n v="0"/>
    <n v="11972.08"/>
    <m/>
    <n v="-11972.08"/>
    <m/>
    <x v="4"/>
  </r>
  <r>
    <n v="1000"/>
    <s v="Kas"/>
    <n v="236.1"/>
    <n v="0"/>
    <m/>
    <n v="236.1"/>
    <m/>
    <x v="5"/>
  </r>
  <r>
    <n v="1010"/>
    <s v="Bank"/>
    <n v="3529.39"/>
    <n v="0"/>
    <m/>
    <n v="3529.39"/>
    <m/>
    <x v="5"/>
  </r>
  <r>
    <n v="1011"/>
    <s v="Spaarrekening Bank"/>
    <n v="251132.5"/>
    <n v="0"/>
    <m/>
    <n v="251132.5"/>
    <m/>
    <x v="5"/>
  </r>
  <r>
    <n v="1019"/>
    <s v="Betalingen onderweg"/>
    <n v="0"/>
    <n v="0"/>
    <m/>
    <n v="0"/>
    <m/>
    <x v="5"/>
  </r>
  <r>
    <n v="1020"/>
    <s v="Giro"/>
    <n v="12681.87"/>
    <n v="0"/>
    <m/>
    <n v="12681.87"/>
    <m/>
    <x v="5"/>
  </r>
  <r>
    <n v="1110"/>
    <s v="Borg Juryjacks"/>
    <n v="0"/>
    <n v="4097.5"/>
    <m/>
    <n v="-4097.5"/>
    <m/>
    <x v="4"/>
  </r>
  <r>
    <n v="1120"/>
    <s v="Waarborgsom huur"/>
    <n v="2154.5"/>
    <n v="0"/>
    <m/>
    <n v="2154.5"/>
    <m/>
    <x v="6"/>
  </r>
  <r>
    <s v="12 :"/>
    <s v="Debiteuren"/>
    <n v="68305.259999999995"/>
    <n v="0"/>
    <m/>
    <n v="68305.259999999995"/>
    <m/>
    <x v="6"/>
  </r>
  <r>
    <n v="1300"/>
    <s v="Overige vorderingen"/>
    <n v="35630.79"/>
    <n v="0"/>
    <m/>
    <n v="35630.79"/>
    <m/>
    <x v="6"/>
  </r>
  <r>
    <n v="1301"/>
    <s v="Vorderingen Topsport"/>
    <n v="0"/>
    <n v="0"/>
    <m/>
    <n v="0"/>
    <m/>
    <x v="6"/>
  </r>
  <r>
    <n v="1302"/>
    <s v="Voorziening dubieuwe debiteuren"/>
    <n v="0"/>
    <n v="12900"/>
    <m/>
    <n v="-12900"/>
    <m/>
    <x v="6"/>
  </r>
  <r>
    <n v="1305"/>
    <s v="Vooruitbetaald Topsport"/>
    <n v="0"/>
    <n v="0"/>
    <m/>
    <n v="0"/>
    <m/>
    <x v="6"/>
  </r>
  <r>
    <n v="1306"/>
    <s v="Vooruitbetaalde bedragen"/>
    <n v="17295.87"/>
    <n v="0"/>
    <m/>
    <n v="17295.87"/>
    <m/>
    <x v="6"/>
  </r>
  <r>
    <n v="1307"/>
    <s v="Jubileum Reservering"/>
    <n v="0"/>
    <n v="0"/>
    <m/>
    <n v="0"/>
    <m/>
    <x v="4"/>
  </r>
  <r>
    <n v="1308"/>
    <s v="Accountantskosten nog te betalen"/>
    <n v="0"/>
    <n v="0"/>
    <n v="-7500"/>
    <n v="-7500"/>
    <m/>
    <x v="4"/>
  </r>
  <r>
    <n v="1309"/>
    <s v="Schulden Topsport"/>
    <n v="0"/>
    <n v="0"/>
    <m/>
    <n v="0"/>
    <m/>
    <x v="4"/>
  </r>
  <r>
    <n v="1310"/>
    <s v="Overige schulden"/>
    <n v="0"/>
    <n v="0"/>
    <n v="-11000"/>
    <n v="-11000"/>
    <m/>
    <x v="4"/>
  </r>
  <r>
    <n v="1311"/>
    <s v="Vooruitontvangen bedragen"/>
    <n v="0"/>
    <n v="0"/>
    <m/>
    <n v="0"/>
    <m/>
    <x v="4"/>
  </r>
  <r>
    <n v="1312"/>
    <s v="Te verrekenen subsidie"/>
    <n v="42896.4"/>
    <n v="0"/>
    <m/>
    <n v="42896.4"/>
    <m/>
    <x v="6"/>
  </r>
  <r>
    <s v="17 :"/>
    <s v="Crediteuren"/>
    <n v="0"/>
    <n v="22404.93"/>
    <n v="630.41"/>
    <n v="-21774.52"/>
    <m/>
    <x v="7"/>
  </r>
  <r>
    <n v="1800"/>
    <s v="Afdrachten belastingdienst"/>
    <n v="0"/>
    <n v="11656.24"/>
    <m/>
    <n v="-11656.24"/>
    <m/>
    <x v="8"/>
  </r>
  <r>
    <n v="1820"/>
    <s v="Fietsplan"/>
    <n v="38.89"/>
    <n v="0"/>
    <m/>
    <n v="38.89"/>
    <m/>
    <x v="4"/>
  </r>
  <r>
    <n v="2000"/>
    <s v="Kruisposten"/>
    <n v="1753.66"/>
    <n v="0"/>
    <m/>
    <n v="1753.66"/>
    <m/>
    <x v="4"/>
  </r>
  <r>
    <n v="2200"/>
    <s v="Tussenrekening lonen"/>
    <n v="0"/>
    <n v="0"/>
    <m/>
    <n v="0"/>
    <m/>
    <x v="4"/>
  </r>
  <r>
    <n v="2210"/>
    <s v="Tussenrekening spaarloon"/>
    <n v="0"/>
    <n v="0"/>
    <m/>
    <n v="0"/>
    <m/>
    <x v="4"/>
  </r>
  <r>
    <n v="2250"/>
    <s v="Tussenrekening PGGM"/>
    <n v="0"/>
    <n v="4002.57"/>
    <m/>
    <n v="-4002.57"/>
    <m/>
    <x v="8"/>
  </r>
  <r>
    <n v="2300"/>
    <s v="Tussenrekening prijzengelden"/>
    <n v="0"/>
    <n v="0"/>
    <m/>
    <n v="0"/>
    <m/>
    <x v="4"/>
  </r>
  <r>
    <n v="2400"/>
    <s v="Tussenrekening inschrijfgeld"/>
    <n v="0"/>
    <n v="7277.74"/>
    <m/>
    <n v="-7277.74"/>
    <m/>
    <x v="6"/>
  </r>
  <r>
    <n v="2500"/>
    <s v="Tussenrekening contributies"/>
    <n v="0"/>
    <n v="0"/>
    <m/>
    <n v="0"/>
    <m/>
    <x v="8"/>
  </r>
  <r>
    <n v="2610"/>
    <s v="Vraagposten"/>
    <n v="0"/>
    <n v="0"/>
    <m/>
    <n v="0"/>
    <m/>
    <x v="8"/>
  </r>
  <r>
    <n v="4000"/>
    <s v="Brutosalarissen"/>
    <n v="248382.25"/>
    <n v="0"/>
    <m/>
    <n v="248382.25"/>
    <m/>
    <x v="9"/>
  </r>
  <r>
    <n v="4001"/>
    <s v="Ouderschapsverlof"/>
    <n v="0"/>
    <n v="0"/>
    <m/>
    <n v="0"/>
    <m/>
    <x v="9"/>
  </r>
  <r>
    <n v="4002"/>
    <s v="Salariskosten extern"/>
    <n v="37464.44"/>
    <n v="0"/>
    <m/>
    <n v="37464.44"/>
    <m/>
    <x v="9"/>
  </r>
  <r>
    <n v="4010"/>
    <s v="Loonheffing "/>
    <n v="0"/>
    <n v="0"/>
    <m/>
    <n v="0"/>
    <m/>
    <x v="9"/>
  </r>
  <r>
    <n v="4020"/>
    <s v="Sociale lasten"/>
    <n v="36230.25"/>
    <n v="0"/>
    <m/>
    <n v="36230.25"/>
    <m/>
    <x v="9"/>
  </r>
  <r>
    <n v="4025"/>
    <s v="ZKV"/>
    <n v="1296"/>
    <n v="0"/>
    <m/>
    <n v="1296"/>
    <m/>
    <x v="9"/>
  </r>
  <r>
    <n v="4030"/>
    <s v="Pensioenpremie"/>
    <n v="22251.98"/>
    <n v="0"/>
    <m/>
    <n v="22251.98"/>
    <m/>
    <x v="9"/>
  </r>
  <r>
    <n v="4035"/>
    <s v="Loonheffing werkgever"/>
    <n v="0"/>
    <n v="0"/>
    <m/>
    <n v="0"/>
    <m/>
    <x v="9"/>
  </r>
  <r>
    <n v="4040"/>
    <s v="Kosten woon-werkvervoer"/>
    <n v="8486.9500000000007"/>
    <n v="0"/>
    <m/>
    <n v="8486.9500000000007"/>
    <m/>
    <x v="9"/>
  </r>
  <r>
    <n v="4045"/>
    <s v="Opbouw vakantietoeslag"/>
    <n v="0"/>
    <n v="7405.55"/>
    <m/>
    <n v="-7405.55"/>
    <m/>
    <x v="9"/>
  </r>
  <r>
    <n v="4050"/>
    <s v="Doorbelaste personeelskosten TS"/>
    <n v="0"/>
    <n v="188663"/>
    <m/>
    <n v="-188663"/>
    <m/>
    <x v="9"/>
  </r>
  <r>
    <n v="4051"/>
    <s v="Doorbelaste personeelskosten BS"/>
    <n v="0"/>
    <n v="43456"/>
    <m/>
    <n v="-43456"/>
    <m/>
    <x v="9"/>
  </r>
  <r>
    <n v="4052"/>
    <s v="Doorbelaste personeelskosten KADER"/>
    <n v="0"/>
    <n v="3750"/>
    <m/>
    <n v="-3750"/>
    <m/>
    <x v="10"/>
  </r>
  <r>
    <n v="4070"/>
    <s v="Verzekeringen personeel"/>
    <n v="14058.28"/>
    <n v="0"/>
    <m/>
    <n v="14058.28"/>
    <m/>
    <x v="9"/>
  </r>
  <r>
    <n v="4071"/>
    <s v="Ziektegeld"/>
    <n v="0"/>
    <n v="2704.85"/>
    <m/>
    <n v="-2704.85"/>
    <m/>
    <x v="9"/>
  </r>
  <r>
    <n v="4080"/>
    <s v="Cursuskosten personeel"/>
    <n v="150"/>
    <n v="0"/>
    <m/>
    <n v="150"/>
    <m/>
    <x v="11"/>
  </r>
  <r>
    <n v="4090"/>
    <s v="Lidmaatschappen"/>
    <n v="0"/>
    <n v="0"/>
    <m/>
    <n v="0"/>
    <m/>
    <x v="9"/>
  </r>
  <r>
    <n v="4099"/>
    <s v="Overige personeelskosten"/>
    <n v="373.36"/>
    <n v="0"/>
    <m/>
    <n v="373.36"/>
    <m/>
    <x v="9"/>
  </r>
  <r>
    <n v="4100"/>
    <s v="Huisvesting (huur/servicekosten)"/>
    <n v="16941.34"/>
    <n v="0"/>
    <m/>
    <n v="16941.34"/>
    <m/>
    <x v="12"/>
  </r>
  <r>
    <n v="4199"/>
    <s v="Overige huisvestingskosten"/>
    <n v="0"/>
    <n v="0"/>
    <m/>
    <n v="0"/>
    <m/>
    <x v="12"/>
  </r>
  <r>
    <n v="4200"/>
    <s v="Kantoorartikelen"/>
    <n v="1036.57"/>
    <n v="0"/>
    <m/>
    <n v="1036.57"/>
    <m/>
    <x v="13"/>
  </r>
  <r>
    <n v="4201"/>
    <s v="Telefoonkosten"/>
    <n v="1473.6"/>
    <n v="0"/>
    <m/>
    <n v="1473.6"/>
    <m/>
    <x v="13"/>
  </r>
  <r>
    <n v="4202"/>
    <s v="Portokosten"/>
    <n v="6418.77"/>
    <n v="0"/>
    <m/>
    <n v="6418.77"/>
    <m/>
    <x v="13"/>
  </r>
  <r>
    <n v="4203"/>
    <s v="Abonnementskosten literatuur"/>
    <n v="575.37"/>
    <n v="0"/>
    <m/>
    <n v="575.37"/>
    <m/>
    <x v="13"/>
  </r>
  <r>
    <n v="4204"/>
    <s v="Kosten kopieerapparaat"/>
    <n v="570.11"/>
    <n v="0"/>
    <m/>
    <n v="570.11"/>
    <m/>
    <x v="13"/>
  </r>
  <r>
    <n v="4205"/>
    <s v="Drukwerk"/>
    <n v="2242.9699999999998"/>
    <n v="0"/>
    <m/>
    <n v="2242.9699999999998"/>
    <m/>
    <x v="13"/>
  </r>
  <r>
    <n v="4206"/>
    <s v="Automatiseringskosten"/>
    <n v="3883.97"/>
    <n v="0"/>
    <m/>
    <n v="3883.97"/>
    <m/>
    <x v="13"/>
  </r>
  <r>
    <n v="4207"/>
    <s v="Kosten betalingsverkeer"/>
    <n v="759.91"/>
    <n v="0"/>
    <m/>
    <n v="759.91"/>
    <m/>
    <x v="14"/>
  </r>
  <r>
    <n v="4208"/>
    <s v="Kostpijs verkopen"/>
    <n v="15986.34"/>
    <n v="0"/>
    <m/>
    <n v="15986.34"/>
    <m/>
    <x v="15"/>
  </r>
  <r>
    <n v="4210"/>
    <s v="Accountantskosten"/>
    <n v="6387.45"/>
    <n v="0"/>
    <n v="6869.59"/>
    <n v="13257.04"/>
    <m/>
    <x v="16"/>
  </r>
  <r>
    <n v="4211"/>
    <s v="Juridische adviezen/bijstand"/>
    <n v="1517.93"/>
    <n v="0"/>
    <m/>
    <n v="1517.93"/>
    <m/>
    <x v="16"/>
  </r>
  <r>
    <n v="4220"/>
    <s v="Kosten hoofdbestuur"/>
    <n v="7764.67"/>
    <n v="0"/>
    <m/>
    <n v="7764.67"/>
    <m/>
    <x v="16"/>
  </r>
  <r>
    <n v="4221"/>
    <s v="Kosten Triraad"/>
    <n v="197.34"/>
    <n v="0"/>
    <m/>
    <n v="197.34"/>
    <m/>
    <x v="16"/>
  </r>
  <r>
    <n v="4222"/>
    <s v="Kosten internationale congressen"/>
    <n v="2654.56"/>
    <n v="0"/>
    <m/>
    <n v="2654.56"/>
    <m/>
    <x v="16"/>
  </r>
  <r>
    <n v="4225"/>
    <s v="Project Exra Sportief London 2012"/>
    <n v="0"/>
    <n v="0"/>
    <m/>
    <n v="0"/>
    <m/>
    <x v="17"/>
  </r>
  <r>
    <n v="4226"/>
    <s v="Functioneringskosten Bondsbureau"/>
    <n v="0"/>
    <n v="0"/>
    <m/>
    <n v="0"/>
    <m/>
    <x v="16"/>
  </r>
  <r>
    <n v="4229"/>
    <s v="Kantinekosten"/>
    <n v="204.15"/>
    <n v="0"/>
    <m/>
    <n v="204.15"/>
    <m/>
    <x v="16"/>
  </r>
  <r>
    <n v="4230"/>
    <s v="Lidmaatschap nationale sportorganisaties"/>
    <n v="1840.88"/>
    <n v="0"/>
    <m/>
    <n v="1840.88"/>
    <m/>
    <x v="16"/>
  </r>
  <r>
    <n v="4231"/>
    <s v="Lidmaatschap internationale sportorganis"/>
    <n v="865.53"/>
    <n v="0"/>
    <m/>
    <n v="865.53"/>
    <m/>
    <x v="16"/>
  </r>
  <r>
    <n v="4240"/>
    <s v="Kosten Stichting Promotie NTB"/>
    <n v="0"/>
    <n v="0"/>
    <m/>
    <n v="0"/>
    <m/>
    <x v="16"/>
  </r>
  <r>
    <n v="4250"/>
    <s v="Werkgroep Wedstrijdofficials"/>
    <n v="855.46"/>
    <n v="0"/>
    <m/>
    <n v="855.46"/>
    <m/>
    <x v="18"/>
  </r>
  <r>
    <n v="4251"/>
    <s v="Werkgroep Topsport"/>
    <n v="234.4"/>
    <n v="0"/>
    <m/>
    <n v="234.4"/>
    <m/>
    <x v="11"/>
  </r>
  <r>
    <n v="4252"/>
    <s v="Werkgroep Breedtesport"/>
    <n v="0"/>
    <n v="0"/>
    <m/>
    <n v="0"/>
    <m/>
    <x v="10"/>
  </r>
  <r>
    <n v="4256"/>
    <s v="Project marketing"/>
    <n v="0"/>
    <n v="0"/>
    <m/>
    <n v="0"/>
    <m/>
    <x v="19"/>
  </r>
  <r>
    <n v="4259"/>
    <s v="Tijdelijke werkgroepen"/>
    <n v="0"/>
    <n v="0"/>
    <m/>
    <n v="0"/>
    <m/>
    <x v="16"/>
  </r>
  <r>
    <n v="4300"/>
    <s v="Verzekeringen NTB-evenementen"/>
    <n v="16843.310000000001"/>
    <n v="0"/>
    <m/>
    <n v="16843.310000000001"/>
    <m/>
    <x v="18"/>
  </r>
  <r>
    <n v="4301"/>
    <s v="Kosten Officials NTB-evenementen"/>
    <n v="2229.5100000000002"/>
    <n v="0"/>
    <m/>
    <n v="2229.5100000000002"/>
    <m/>
    <x v="18"/>
  </r>
  <r>
    <n v="4302"/>
    <s v="NG-kosten"/>
    <n v="1505.69"/>
    <n v="0"/>
    <m/>
    <n v="1505.69"/>
    <m/>
    <x v="18"/>
  </r>
  <r>
    <n v="4303"/>
    <s v="Kosten overige officialactiviteiten"/>
    <n v="985.1"/>
    <n v="0"/>
    <m/>
    <n v="985.1"/>
    <m/>
    <x v="18"/>
  </r>
  <r>
    <n v="4304"/>
    <s v="Kleding official"/>
    <n v="0"/>
    <n v="0"/>
    <m/>
    <n v="0"/>
    <m/>
    <x v="18"/>
  </r>
  <r>
    <n v="4305"/>
    <s v="EVC (official erkenning)"/>
    <n v="0"/>
    <n v="0"/>
    <m/>
    <n v="0"/>
    <m/>
    <x v="18"/>
  </r>
  <r>
    <n v="4309"/>
    <s v="Overige NTB-evenementskosten"/>
    <n v="68.75"/>
    <n v="0"/>
    <m/>
    <n v="68.75"/>
    <m/>
    <x v="18"/>
  </r>
  <r>
    <n v="4310"/>
    <s v="Medailles NTB-evenementen"/>
    <n v="2190.48"/>
    <n v="0"/>
    <m/>
    <n v="2190.48"/>
    <m/>
    <x v="18"/>
  </r>
  <r>
    <n v="4311"/>
    <s v="Prijzen/kosten Para triathlon"/>
    <n v="0"/>
    <n v="0"/>
    <m/>
    <n v="0"/>
    <m/>
    <x v="18"/>
  </r>
  <r>
    <n v="4313"/>
    <s v="Prijzen/kosten Duatloncircuit"/>
    <n v="1125"/>
    <n v="0"/>
    <m/>
    <n v="1125"/>
    <m/>
    <x v="18"/>
  </r>
  <r>
    <n v="4314"/>
    <s v="Prijzen/kosten Jeugd&amp;Juniorencircuit"/>
    <n v="942.68"/>
    <n v="0"/>
    <m/>
    <n v="942.68"/>
    <m/>
    <x v="18"/>
  </r>
  <r>
    <n v="4315"/>
    <s v="Prijzen/kosten "/>
    <n v="0"/>
    <n v="0"/>
    <m/>
    <n v="0"/>
    <m/>
    <x v="18"/>
  </r>
  <r>
    <n v="4316"/>
    <s v="Prijzen/kosten verenigingscircuit"/>
    <n v="0"/>
    <n v="0"/>
    <m/>
    <n v="0"/>
    <m/>
    <x v="18"/>
  </r>
  <r>
    <n v="4317"/>
    <s v="Prijzen/kosten regionale circuit"/>
    <n v="2400.54"/>
    <n v="0"/>
    <m/>
    <n v="2400.54"/>
    <m/>
    <x v="18"/>
  </r>
  <r>
    <n v="4318"/>
    <s v="Prijzen/kosten wintercircuit"/>
    <n v="1127.76"/>
    <n v="0"/>
    <m/>
    <n v="1127.76"/>
    <m/>
    <x v="18"/>
  </r>
  <r>
    <n v="4500"/>
    <s v="Public Relations"/>
    <n v="2526"/>
    <n v="0"/>
    <m/>
    <n v="2526"/>
    <m/>
    <x v="19"/>
  </r>
  <r>
    <n v="4501"/>
    <s v="Promotie "/>
    <n v="1422.8"/>
    <n v="0"/>
    <m/>
    <n v="1422.8"/>
    <m/>
    <x v="19"/>
  </r>
  <r>
    <n v="4502"/>
    <s v="Kosten NTB-website"/>
    <n v="0"/>
    <n v="0"/>
    <m/>
    <n v="0"/>
    <m/>
    <x v="19"/>
  </r>
  <r>
    <n v="4503"/>
    <s v="Kosten sponsorprojecten"/>
    <n v="0"/>
    <n v="0"/>
    <m/>
    <n v="0"/>
    <m/>
    <x v="19"/>
  </r>
  <r>
    <n v="4505"/>
    <s v="Persvoorlichter"/>
    <n v="2250"/>
    <n v="0"/>
    <m/>
    <n v="2250"/>
    <m/>
    <x v="19"/>
  </r>
  <r>
    <n v="4506"/>
    <s v="Ledenwerving en promotie"/>
    <n v="0"/>
    <n v="0"/>
    <m/>
    <n v="0"/>
    <m/>
    <x v="19"/>
  </r>
  <r>
    <n v="4601"/>
    <s v="Kosten bondsblad TS1"/>
    <n v="7608.33"/>
    <n v="0"/>
    <m/>
    <n v="7608.33"/>
    <m/>
    <x v="19"/>
  </r>
  <r>
    <n v="4602"/>
    <s v="Kosten bondsblad TS2"/>
    <n v="6313.17"/>
    <n v="0"/>
    <m/>
    <n v="6313.17"/>
    <m/>
    <x v="19"/>
  </r>
  <r>
    <n v="4603"/>
    <s v="Kosten bondsblad TS3"/>
    <n v="6098.33"/>
    <n v="0"/>
    <m/>
    <n v="6098.33"/>
    <m/>
    <x v="19"/>
  </r>
  <r>
    <n v="4604"/>
    <s v="Kosten bondsblad TS4"/>
    <n v="8388.33"/>
    <n v="0"/>
    <m/>
    <n v="8388.33"/>
    <m/>
    <x v="19"/>
  </r>
  <r>
    <n v="4605"/>
    <s v="Kosten bondsblad TS5"/>
    <n v="6176.09"/>
    <n v="0"/>
    <m/>
    <n v="6176.09"/>
    <m/>
    <x v="19"/>
  </r>
  <r>
    <n v="4606"/>
    <s v="Kosten bondsblad TS6"/>
    <n v="7636.69"/>
    <n v="0"/>
    <m/>
    <n v="7636.69"/>
    <m/>
    <x v="19"/>
  </r>
  <r>
    <n v="4607"/>
    <s v="Kosten bondsblad TS7"/>
    <n v="7917.42"/>
    <n v="0"/>
    <m/>
    <n v="7917.42"/>
    <m/>
    <x v="19"/>
  </r>
  <r>
    <n v="4608"/>
    <s v="Kosten bondsblad TS8"/>
    <n v="6331.03"/>
    <n v="0"/>
    <m/>
    <n v="6331.03"/>
    <m/>
    <x v="19"/>
  </r>
  <r>
    <n v="4609"/>
    <s v="Kosten bondsblad TS9"/>
    <n v="0"/>
    <n v="0"/>
    <m/>
    <n v="0"/>
    <m/>
    <x v="19"/>
  </r>
  <r>
    <n v="4610"/>
    <s v="Kosten bondsblad TS10"/>
    <n v="0"/>
    <n v="0"/>
    <m/>
    <n v="0"/>
    <m/>
    <x v="19"/>
  </r>
  <r>
    <n v="4611"/>
    <s v="Kosten bondsblad TS11"/>
    <n v="0"/>
    <n v="0"/>
    <m/>
    <n v="0"/>
    <m/>
    <x v="19"/>
  </r>
  <r>
    <n v="4612"/>
    <s v="Kosten bondsblad TS12"/>
    <n v="0"/>
    <n v="0"/>
    <m/>
    <n v="0"/>
    <m/>
    <x v="19"/>
  </r>
  <r>
    <n v="4615"/>
    <s v="Overige kosten bondsblad"/>
    <n v="39.840000000000003"/>
    <n v="0"/>
    <m/>
    <n v="39.840000000000003"/>
    <m/>
    <x v="19"/>
  </r>
  <r>
    <n v="4700"/>
    <s v="Directe kosten leden/ver/org"/>
    <n v="10443.85"/>
    <n v="0"/>
    <m/>
    <n v="10443.85"/>
    <m/>
    <x v="16"/>
  </r>
  <r>
    <n v="4701"/>
    <s v="Inkopen"/>
    <n v="0"/>
    <n v="0"/>
    <m/>
    <n v="0"/>
    <m/>
    <x v="16"/>
  </r>
  <r>
    <n v="4850"/>
    <s v="Kosten evenementen Eredivisie"/>
    <n v="19001.849999999999"/>
    <n v="0"/>
    <m/>
    <n v="19001.849999999999"/>
    <m/>
    <x v="20"/>
  </r>
  <r>
    <n v="4855"/>
    <s v="EK Holten"/>
    <n v="0"/>
    <n v="0"/>
    <m/>
    <n v="0"/>
    <m/>
    <x v="21"/>
  </r>
  <r>
    <n v="4900"/>
    <s v="Kosten verenigingsondersteuningsprojecte"/>
    <n v="0"/>
    <n v="0"/>
    <m/>
    <n v="0"/>
    <m/>
    <x v="10"/>
  </r>
  <r>
    <n v="490090900"/>
    <s v="Breedtesportprojecten/TOP 10"/>
    <n v="3188"/>
    <n v="0"/>
    <m/>
    <n v="3188"/>
    <m/>
    <x v="10"/>
  </r>
  <r>
    <n v="490090901"/>
    <s v="Breedtesportprojecten/ACCOUNTMAN"/>
    <n v="2127"/>
    <n v="0"/>
    <m/>
    <n v="2127"/>
    <m/>
    <x v="10"/>
  </r>
  <r>
    <n v="490090910"/>
    <s v="Breedtesportprojecten/JEUGDKAMP"/>
    <n v="1274.9100000000001"/>
    <n v="0"/>
    <m/>
    <n v="1274.9100000000001"/>
    <m/>
    <x v="10"/>
  </r>
  <r>
    <n v="490090911"/>
    <s v="Breedtesportprojecten/TALENTONTW"/>
    <n v="0"/>
    <n v="0"/>
    <m/>
    <n v="0"/>
    <m/>
    <x v="10"/>
  </r>
  <r>
    <n v="490090920"/>
    <s v="Breedtesportprojecten/TRIO"/>
    <n v="0"/>
    <n v="0"/>
    <m/>
    <n v="0"/>
    <m/>
    <x v="10"/>
  </r>
  <r>
    <n v="490090930"/>
    <s v="Breedtesportprojecten/Agegroup"/>
    <n v="1571.7"/>
    <n v="0"/>
    <m/>
    <n v="1571.7"/>
    <m/>
    <x v="10"/>
  </r>
  <r>
    <n v="490090931"/>
    <s v="Breedtesportprojecten/OFFROAD"/>
    <n v="5356.02"/>
    <n v="0"/>
    <m/>
    <n v="5356.02"/>
    <m/>
    <x v="10"/>
  </r>
  <r>
    <n v="490090932"/>
    <s v="Breedtesportprojecten/PR"/>
    <n v="3169.16"/>
    <n v="0"/>
    <m/>
    <n v="3169.16"/>
    <m/>
    <x v="10"/>
  </r>
  <r>
    <n v="490090933"/>
    <s v="Breedtesportprojecten/Themadag Vrouwen"/>
    <n v="0"/>
    <n v="0"/>
    <m/>
    <n v="0"/>
    <m/>
    <x v="10"/>
  </r>
  <r>
    <n v="490090934"/>
    <s v="Breedtesportprojecten/BEPERKING"/>
    <n v="121.3"/>
    <n v="0"/>
    <m/>
    <n v="121.3"/>
    <m/>
    <x v="10"/>
  </r>
  <r>
    <n v="490090936"/>
    <s v="Breedtesportprojecten/Duathlon"/>
    <n v="5030.32"/>
    <n v="0"/>
    <m/>
    <n v="5030.32"/>
    <m/>
    <x v="10"/>
  </r>
  <r>
    <n v="490090940"/>
    <s v="Breedtesportprojecten/TRIATHLON Stimulering"/>
    <n v="52364.14"/>
    <n v="0"/>
    <m/>
    <n v="52364.14"/>
    <m/>
    <x v="10"/>
  </r>
  <r>
    <n v="490090950"/>
    <s v="Breedtesportprojecten/DIGITAAL PLATFORM"/>
    <n v="0"/>
    <n v="0"/>
    <m/>
    <n v="0"/>
    <m/>
    <x v="10"/>
  </r>
  <r>
    <n v="490090960"/>
    <s v="Breedtesportprojecten/CONGRES"/>
    <n v="4000"/>
    <n v="0"/>
    <m/>
    <n v="4000"/>
    <m/>
    <x v="10"/>
  </r>
  <r>
    <n v="490090970"/>
    <s v="Breedtesportprojecten"/>
    <n v="6286.04"/>
    <n v="0"/>
    <n v="11000"/>
    <n v="17286.04"/>
    <m/>
    <x v="10"/>
  </r>
  <r>
    <n v="4901"/>
    <s v="Kosten Vrouwen Triathlon"/>
    <n v="0"/>
    <n v="0"/>
    <m/>
    <n v="0"/>
    <m/>
    <x v="10"/>
  </r>
  <r>
    <n v="4902"/>
    <s v="Inkomsten Vrouwen Triathlon"/>
    <n v="0"/>
    <n v="0"/>
    <m/>
    <n v="0"/>
    <m/>
    <x v="10"/>
  </r>
  <r>
    <n v="4905"/>
    <s v="Ondersteuning organisaties en samenwerking"/>
    <n v="8374"/>
    <n v="0"/>
    <m/>
    <n v="8374"/>
    <m/>
    <x v="10"/>
  </r>
  <r>
    <n v="4920"/>
    <s v="Jeugdprojecten"/>
    <n v="0"/>
    <n v="0"/>
    <m/>
    <n v="0"/>
    <m/>
    <x v="10"/>
  </r>
  <r>
    <n v="4925"/>
    <s v="NTB Jeugdkamp"/>
    <n v="0"/>
    <n v="0"/>
    <m/>
    <n v="0"/>
    <m/>
    <x v="10"/>
  </r>
  <r>
    <n v="4936"/>
    <s v="Triathlon congres"/>
    <n v="0"/>
    <n v="0"/>
    <m/>
    <n v="0"/>
    <m/>
    <x v="10"/>
  </r>
  <r>
    <n v="4937"/>
    <s v="Talentherkenning"/>
    <n v="0"/>
    <n v="0"/>
    <m/>
    <n v="0"/>
    <m/>
    <x v="10"/>
  </r>
  <r>
    <n v="4941"/>
    <s v="Masterdag"/>
    <n v="0"/>
    <n v="0"/>
    <m/>
    <n v="0"/>
    <m/>
    <x v="10"/>
  </r>
  <r>
    <n v="4957"/>
    <s v="Bikemotion"/>
    <n v="0"/>
    <n v="0"/>
    <m/>
    <n v="0"/>
    <m/>
    <x v="10"/>
  </r>
  <r>
    <n v="4980"/>
    <s v="Medische Breedtesport"/>
    <n v="0"/>
    <n v="0"/>
    <m/>
    <n v="0"/>
    <m/>
    <x v="10"/>
  </r>
  <r>
    <n v="4990"/>
    <s v="Overige breedtesportkosten"/>
    <n v="0"/>
    <n v="0"/>
    <m/>
    <n v="0"/>
    <m/>
    <x v="10"/>
  </r>
  <r>
    <n v="4999"/>
    <s v="Afschrijvingskosten"/>
    <n v="2671"/>
    <n v="0"/>
    <m/>
    <n v="2671"/>
    <m/>
    <x v="22"/>
  </r>
  <r>
    <n v="5100"/>
    <s v="Loon technisch directeur"/>
    <n v="55337"/>
    <n v="0"/>
    <m/>
    <n v="55337"/>
    <m/>
    <x v="11"/>
  </r>
  <r>
    <n v="5101"/>
    <s v="Onkosten technisch directeur"/>
    <n v="4814.47"/>
    <n v="0"/>
    <m/>
    <n v="4814.47"/>
    <m/>
    <x v="11"/>
  </r>
  <r>
    <n v="5102"/>
    <s v="Loon bondscoach"/>
    <n v="48000"/>
    <n v="0"/>
    <m/>
    <n v="48000"/>
    <m/>
    <x v="11"/>
  </r>
  <r>
    <n v="5103"/>
    <s v="Onkosten bondscoach"/>
    <n v="3458.84"/>
    <n v="0"/>
    <m/>
    <n v="3458.84"/>
    <m/>
    <x v="11"/>
  </r>
  <r>
    <n v="5104"/>
    <s v="Loon talentcoach"/>
    <n v="38514"/>
    <n v="0"/>
    <m/>
    <n v="38514"/>
    <m/>
    <x v="11"/>
  </r>
  <r>
    <n v="5105"/>
    <s v="Onkosten talentcoach"/>
    <n v="2420.73"/>
    <n v="0"/>
    <m/>
    <n v="2420.73"/>
    <m/>
    <x v="11"/>
  </r>
  <r>
    <n v="5106"/>
    <s v="Medewerkers bondsbureau"/>
    <n v="0"/>
    <n v="0"/>
    <m/>
    <n v="0"/>
    <m/>
    <x v="11"/>
  </r>
  <r>
    <n v="5107"/>
    <s v="Technisch coördinator para"/>
    <n v="21375"/>
    <n v="0"/>
    <m/>
    <n v="21375"/>
    <m/>
    <x v="11"/>
  </r>
  <r>
    <n v="5108"/>
    <s v="Onkoten technisch coördinator PARA"/>
    <n v="1936.29"/>
    <n v="0"/>
    <m/>
    <n v="1936.29"/>
    <m/>
    <x v="11"/>
  </r>
  <r>
    <n v="5109"/>
    <s v="Loon Embedded"/>
    <n v="34337"/>
    <n v="0"/>
    <m/>
    <n v="34337"/>
    <m/>
    <x v="11"/>
  </r>
  <r>
    <n v="5110"/>
    <s v="Onkoten Embedded"/>
    <n v="788.34"/>
    <n v="0"/>
    <m/>
    <n v="788.34"/>
    <m/>
    <x v="11"/>
  </r>
  <r>
    <n v="5111"/>
    <s v="Disipline trainers NTC"/>
    <n v="34589.99"/>
    <n v="0"/>
    <m/>
    <n v="34589.99"/>
    <m/>
    <x v="11"/>
  </r>
  <r>
    <n v="5112"/>
    <s v="Mentale begeleiding"/>
    <n v="2025"/>
    <n v="0"/>
    <m/>
    <n v="2025"/>
    <m/>
    <x v="11"/>
  </r>
  <r>
    <n v="5113"/>
    <s v="Medische coordinator"/>
    <n v="359.64"/>
    <n v="0"/>
    <m/>
    <n v="359.64"/>
    <m/>
    <x v="11"/>
  </r>
  <r>
    <n v="5114"/>
    <s v="Specialisten en adviseurs"/>
    <n v="1351.61"/>
    <n v="0"/>
    <m/>
    <n v="1351.61"/>
    <m/>
    <x v="11"/>
  </r>
  <r>
    <n v="5115"/>
    <s v="Wetenschappelijke begeleiding NOC*NSF"/>
    <n v="1097.77"/>
    <n v="0"/>
    <m/>
    <n v="1097.77"/>
    <m/>
    <x v="11"/>
  </r>
  <r>
    <n v="5116"/>
    <s v="Podologisch onderzoek"/>
    <n v="0"/>
    <n v="0"/>
    <m/>
    <n v="0"/>
    <m/>
    <x v="11"/>
  </r>
  <r>
    <n v="5117"/>
    <s v="Inpanningstesten en controletesten"/>
    <n v="0"/>
    <n v="0"/>
    <m/>
    <n v="0"/>
    <m/>
    <x v="11"/>
  </r>
  <r>
    <n v="5118"/>
    <s v="Trainers talentherkenning"/>
    <n v="0"/>
    <n v="0"/>
    <m/>
    <n v="0"/>
    <m/>
    <x v="11"/>
  </r>
  <r>
    <n v="5119"/>
    <s v="Fychiotherapie NTC"/>
    <n v="1213.5"/>
    <n v="0"/>
    <m/>
    <n v="1213.5"/>
    <m/>
    <x v="11"/>
  </r>
  <r>
    <n v="5120"/>
    <s v="Cursus/bijscholing kader"/>
    <n v="3138.24"/>
    <n v="0"/>
    <m/>
    <n v="3138.24"/>
    <m/>
    <x v="11"/>
  </r>
  <r>
    <n v="5121"/>
    <s v="Doorontwikkelen meerjaren-opleidingsplan"/>
    <n v="0"/>
    <n v="0"/>
    <m/>
    <n v="0"/>
    <m/>
    <x v="11"/>
  </r>
  <r>
    <n v="5122"/>
    <s v="Lifestyle/Studie coach"/>
    <n v="6588.22"/>
    <n v="0"/>
    <m/>
    <n v="6588.22"/>
    <m/>
    <x v="11"/>
  </r>
  <r>
    <n v="5123"/>
    <m/>
    <n v="0"/>
    <n v="0"/>
    <m/>
    <n v="0"/>
    <m/>
    <x v="11"/>
  </r>
  <r>
    <n v="5124"/>
    <s v="RTC Almere/Flevoland"/>
    <n v="24547.360000000001"/>
    <n v="0"/>
    <m/>
    <n v="24547.360000000001"/>
    <m/>
    <x v="11"/>
  </r>
  <r>
    <n v="520090001"/>
    <s v="Reiskosten sporters/Stage NZL"/>
    <n v="13504.65"/>
    <n v="0"/>
    <m/>
    <n v="13504.65"/>
    <m/>
    <x v="11"/>
  </r>
  <r>
    <n v="520090002"/>
    <s v="Reiskosten sporters/Stage AYOF"/>
    <n v="1386.75"/>
    <n v="0"/>
    <m/>
    <n v="1386.75"/>
    <m/>
    <x v="11"/>
  </r>
  <r>
    <n v="520090003"/>
    <s v="Reiskosten sporters/Stage Wanaka mrt"/>
    <n v="809.54"/>
    <n v="0"/>
    <m/>
    <n v="809.54"/>
    <m/>
    <x v="11"/>
  </r>
  <r>
    <n v="520090004"/>
    <s v="Reiskosten sporters/Stage SanDiego"/>
    <n v="2377.6"/>
    <n v="0"/>
    <m/>
    <n v="2377.6"/>
    <m/>
    <x v="11"/>
  </r>
  <r>
    <n v="520090005"/>
    <s v="Reiskosten sporters/Stage Frankrijk "/>
    <n v="4761"/>
    <n v="0"/>
    <m/>
    <n v="4761"/>
    <m/>
    <x v="11"/>
  </r>
  <r>
    <n v="520090006"/>
    <s v="Reiskosten sporters/Stage spanje"/>
    <n v="3039.1"/>
    <n v="0"/>
    <m/>
    <n v="3039.1"/>
    <m/>
    <x v="11"/>
  </r>
  <r>
    <n v="520090007"/>
    <s v="Reiskosten sporters/Stage Junioren"/>
    <n v="3350.54"/>
    <n v="0"/>
    <m/>
    <n v="3350.54"/>
    <m/>
    <x v="11"/>
  </r>
  <r>
    <n v="520090008"/>
    <s v="Reiskosten sporters/2016/2020 ZA"/>
    <n v="8831.52"/>
    <n v="0"/>
    <m/>
    <n v="8831.52"/>
    <m/>
    <x v="11"/>
  </r>
  <r>
    <n v="520090009"/>
    <s v="Reiskosten sporters/Stage 2016/2020FF"/>
    <n v="0"/>
    <n v="0"/>
    <m/>
    <n v="0"/>
    <m/>
    <x v="11"/>
  </r>
  <r>
    <n v="520090100"/>
    <s v="Reiskosten sporters/WCS Auckland"/>
    <n v="5432.95"/>
    <n v="0"/>
    <m/>
    <n v="5432.95"/>
    <m/>
    <x v="11"/>
  </r>
  <r>
    <n v="520090101"/>
    <s v="Reiskosten sporters/SanDiego"/>
    <n v="0"/>
    <n v="0"/>
    <m/>
    <n v="0"/>
    <m/>
    <x v="11"/>
  </r>
  <r>
    <n v="520090102"/>
    <s v="Reiskosten sporters/Madrid"/>
    <n v="2231.34"/>
    <n v="0"/>
    <m/>
    <n v="2231.34"/>
    <m/>
    <x v="11"/>
  </r>
  <r>
    <n v="520090103"/>
    <s v="Reiskosten sporters/WSC Kitzbuhel"/>
    <n v="993.46"/>
    <n v="0"/>
    <m/>
    <n v="993.46"/>
    <m/>
    <x v="11"/>
  </r>
  <r>
    <n v="520090104"/>
    <s v="Reiskosten sporters/WCS Hambur"/>
    <n v="601.09"/>
    <n v="0"/>
    <m/>
    <n v="601.09"/>
    <m/>
    <x v="11"/>
  </r>
  <r>
    <n v="520090105"/>
    <s v="Reiskosten sporters/WCS Yokogawa"/>
    <n v="1280.76"/>
    <n v="0"/>
    <m/>
    <n v="1280.76"/>
    <m/>
    <x v="11"/>
  </r>
  <r>
    <n v="520090106"/>
    <s v="Reiskosten sporters/WCS Stockholm"/>
    <n v="2769.44"/>
    <n v="0"/>
    <m/>
    <n v="2769.44"/>
    <m/>
    <x v="11"/>
  </r>
  <r>
    <n v="520090107"/>
    <s v="Reiskosten sporters/WCS London"/>
    <n v="858"/>
    <n v="0"/>
    <m/>
    <n v="858"/>
    <m/>
    <x v="11"/>
  </r>
  <r>
    <n v="520090108"/>
    <s v="Reiskosten sporters/WCS Alanya"/>
    <n v="6439.52"/>
    <n v="0"/>
    <m/>
    <n v="6439.52"/>
    <m/>
    <x v="11"/>
  </r>
  <r>
    <n v="520090150"/>
    <s v="Reiskosten sporters/2012 WC Wedstrijden"/>
    <n v="1276.19"/>
    <n v="0"/>
    <m/>
    <n v="1276.19"/>
    <m/>
    <x v="11"/>
  </r>
  <r>
    <n v="520090200"/>
    <s v="Reiskosten sporters/2016 ETU cup"/>
    <n v="3452.27"/>
    <n v="0"/>
    <m/>
    <n v="3452.27"/>
    <m/>
    <x v="11"/>
  </r>
  <r>
    <n v="520090201"/>
    <s v="Reiskosten sporters/WK Auckland"/>
    <n v="0"/>
    <n v="0"/>
    <m/>
    <n v="0"/>
    <m/>
    <x v="11"/>
  </r>
  <r>
    <n v="520090202"/>
    <s v="Reiskosten sporters/ITU Wedstrijden"/>
    <n v="0"/>
    <n v="0"/>
    <m/>
    <n v="0"/>
    <m/>
    <x v="11"/>
  </r>
  <r>
    <n v="520090203"/>
    <s v="Reiskosten sporters/ITU Hongarije"/>
    <n v="0"/>
    <n v="0"/>
    <m/>
    <n v="0"/>
    <m/>
    <x v="11"/>
  </r>
  <r>
    <n v="520090204"/>
    <s v="Reiskosten sporters/Kwalificat"/>
    <n v="0"/>
    <n v="0"/>
    <m/>
    <n v="0"/>
    <m/>
    <x v="11"/>
  </r>
  <r>
    <n v="520090205"/>
    <s v="Reiskosten sporters/Junioren Quiteira"/>
    <n v="0"/>
    <n v="0"/>
    <m/>
    <n v="0"/>
    <m/>
    <x v="11"/>
  </r>
  <r>
    <n v="520090206"/>
    <s v="Reiskosten sporters/EK023"/>
    <n v="0"/>
    <n v="0"/>
    <m/>
    <n v="0"/>
    <m/>
    <x v="11"/>
  </r>
  <r>
    <n v="520090300"/>
    <s v="Reiskosten sporters/EK Eilat"/>
    <n v="0"/>
    <n v="0"/>
    <m/>
    <n v="0"/>
    <m/>
    <x v="11"/>
  </r>
  <r>
    <n v="520090301"/>
    <s v="Reiskosten sporters/EK Eilat Para"/>
    <n v="0"/>
    <n v="0"/>
    <m/>
    <n v="0"/>
    <m/>
    <x v="11"/>
  </r>
  <r>
    <n v="520090302"/>
    <s v="Reiskosten sporters/ Para"/>
    <n v="30.29"/>
    <n v="0"/>
    <m/>
    <n v="30.29"/>
    <m/>
    <x v="11"/>
  </r>
  <r>
    <n v="520090304"/>
    <s v="Reiskosten sporters/Para Alanya"/>
    <n v="4700"/>
    <n v="0"/>
    <m/>
    <n v="4700"/>
    <m/>
    <x v="11"/>
  </r>
  <r>
    <n v="520090305"/>
    <s v="Reiskosten sporters/Para Alg"/>
    <n v="195.7"/>
    <n v="0"/>
    <m/>
    <n v="195.7"/>
    <m/>
    <x v="11"/>
  </r>
  <r>
    <n v="520090350"/>
    <s v="Reiskosten sporters/WK Sprint/teams"/>
    <n v="0"/>
    <n v="0"/>
    <m/>
    <n v="0"/>
    <m/>
    <x v="11"/>
  </r>
  <r>
    <n v="520090400"/>
    <s v="Reiskosten sporters/Trainingsw Duathlon"/>
    <n v="1214.56"/>
    <n v="0"/>
    <m/>
    <n v="1214.56"/>
    <m/>
    <x v="11"/>
  </r>
  <r>
    <n v="520090401"/>
    <s v="Reiskosten sporters/Stage FF"/>
    <n v="0"/>
    <n v="0"/>
    <m/>
    <n v="0"/>
    <m/>
    <x v="11"/>
  </r>
  <r>
    <n v="520090402"/>
    <s v="Reiskosten sporters/WG duathlon"/>
    <n v="4992"/>
    <n v="0"/>
    <m/>
    <n v="4992"/>
    <m/>
    <x v="11"/>
  </r>
  <r>
    <n v="520090403"/>
    <s v="Reiskosten sporters/EK DU LA"/>
    <n v="0"/>
    <n v="0"/>
    <m/>
    <n v="0"/>
    <m/>
    <x v="11"/>
  </r>
  <r>
    <n v="520090404"/>
    <s v="Reiskosten sporters/ WK Duathlotn Zofingen"/>
    <n v="3540"/>
    <n v="0"/>
    <m/>
    <n v="3540"/>
    <m/>
    <x v="11"/>
  </r>
  <r>
    <n v="520290001"/>
    <s v="Verblijfkosten sporters/Stage NZL"/>
    <n v="4468.38"/>
    <n v="0"/>
    <m/>
    <n v="4468.38"/>
    <m/>
    <x v="11"/>
  </r>
  <r>
    <n v="520290002"/>
    <s v="Verblijfkosten sporters/Stage AYOF"/>
    <n v="1165.33"/>
    <n v="0"/>
    <m/>
    <n v="1165.33"/>
    <m/>
    <x v="11"/>
  </r>
  <r>
    <n v="520290003"/>
    <s v="Verblijfkosten sporters/Stage Wanaka mrt"/>
    <n v="7349.34"/>
    <n v="0"/>
    <m/>
    <n v="7349.34"/>
    <m/>
    <x v="11"/>
  </r>
  <r>
    <n v="520290004"/>
    <s v="Verblijfkosten sporters/StageSanDiego"/>
    <n v="0"/>
    <n v="0"/>
    <m/>
    <n v="0"/>
    <m/>
    <x v="11"/>
  </r>
  <r>
    <n v="520290005"/>
    <s v="Verblijfkosten sporters/Stage frankrijk "/>
    <n v="2219.11"/>
    <n v="0"/>
    <m/>
    <n v="2219.11"/>
    <m/>
    <x v="11"/>
  </r>
  <r>
    <n v="520290006"/>
    <s v="Verblijfkosten sporters/Stage Spanje"/>
    <n v="4701.68"/>
    <n v="0"/>
    <m/>
    <n v="4701.68"/>
    <m/>
    <x v="11"/>
  </r>
  <r>
    <n v="520290007"/>
    <s v="Verblijfkosten sporters/Stage Junioren"/>
    <n v="2080.33"/>
    <n v="0"/>
    <m/>
    <n v="2080.33"/>
    <m/>
    <x v="11"/>
  </r>
  <r>
    <n v="520290008"/>
    <s v="Verblijfkosten sporters//2016/2020 ZA"/>
    <n v="9401.2900000000009"/>
    <n v="0"/>
    <m/>
    <n v="9401.2900000000009"/>
    <m/>
    <x v="11"/>
  </r>
  <r>
    <n v="520290009"/>
    <s v="Verblijfkosten sporters/Stage Para"/>
    <n v="2266.48"/>
    <n v="0"/>
    <m/>
    <n v="2266.48"/>
    <m/>
    <x v="11"/>
  </r>
  <r>
    <n v="520290010"/>
    <s v="Verblijfkosten sporters/Stage TRI"/>
    <n v="350.79"/>
    <n v="0"/>
    <m/>
    <n v="350.79"/>
    <m/>
    <x v="11"/>
  </r>
  <r>
    <n v="520290100"/>
    <s v="Verblijfkosten sporters/WSC Auckland"/>
    <n v="948.25"/>
    <n v="0"/>
    <m/>
    <n v="948.25"/>
    <m/>
    <x v="11"/>
  </r>
  <r>
    <n v="520290101"/>
    <s v="Verblijfkosten sporters/WSC SanDiego"/>
    <n v="3891.91"/>
    <n v="0"/>
    <m/>
    <n v="3891.91"/>
    <m/>
    <x v="11"/>
  </r>
  <r>
    <n v="520290102"/>
    <s v="Verblijfkosten sporters/WCS Madrid"/>
    <n v="2510.19"/>
    <n v="0"/>
    <m/>
    <n v="2510.19"/>
    <m/>
    <x v="11"/>
  </r>
  <r>
    <n v="520290103"/>
    <s v="Verblijfkosten sporters/WCS Kitzbuhel"/>
    <n v="2850.35"/>
    <n v="0"/>
    <m/>
    <n v="2850.35"/>
    <m/>
    <x v="11"/>
  </r>
  <r>
    <n v="520290104"/>
    <s v="Verblijfkosten sporters/WCS Hambur"/>
    <n v="4392.13"/>
    <n v="0"/>
    <m/>
    <n v="4392.13"/>
    <m/>
    <x v="11"/>
  </r>
  <r>
    <n v="520290105"/>
    <s v="Verblijfkosten sporters/WCS Yokogawa"/>
    <n v="560.53"/>
    <n v="0"/>
    <m/>
    <n v="560.53"/>
    <m/>
    <x v="11"/>
  </r>
  <r>
    <n v="520290106"/>
    <s v="Verblijfkosten sporters/OS London"/>
    <n v="89.42"/>
    <n v="0"/>
    <m/>
    <n v="89.42"/>
    <m/>
    <x v="11"/>
  </r>
  <r>
    <n v="520290107"/>
    <s v="Verblijfkosten sporters/London"/>
    <n v="5771"/>
    <n v="0"/>
    <m/>
    <n v="5771"/>
    <m/>
    <x v="11"/>
  </r>
  <r>
    <n v="520290108"/>
    <s v="Verblijfkosten sporters/WCS Alanya"/>
    <n v="2254.96"/>
    <n v="0"/>
    <m/>
    <n v="2254.96"/>
    <m/>
    <x v="11"/>
  </r>
  <r>
    <n v="520290150"/>
    <s v="Verblijfkosten sporters/2012 WC Wedstrijden"/>
    <n v="1234"/>
    <n v="0"/>
    <m/>
    <n v="1234"/>
    <m/>
    <x v="11"/>
  </r>
  <r>
    <n v="520290200"/>
    <s v="Verblijfkosten sporters/ETU Cup"/>
    <n v="3119.03"/>
    <n v="0"/>
    <m/>
    <n v="3119.03"/>
    <m/>
    <x v="11"/>
  </r>
  <r>
    <n v="520290201"/>
    <s v="Verblijfkosten sporters/WK Auckland"/>
    <n v="0"/>
    <n v="0"/>
    <m/>
    <n v="0"/>
    <m/>
    <x v="11"/>
  </r>
  <r>
    <n v="520290202"/>
    <s v="Verblijfkosten sporters/ITU Wedstrijden"/>
    <n v="0"/>
    <n v="0"/>
    <m/>
    <n v="0"/>
    <m/>
    <x v="11"/>
  </r>
  <r>
    <n v="520290203"/>
    <s v="Verblijfkosten sporters/Hongarije"/>
    <n v="0"/>
    <n v="0"/>
    <m/>
    <n v="0"/>
    <m/>
    <x v="11"/>
  </r>
  <r>
    <n v="520290204"/>
    <s v="Verblijfkosten sporters/Hongarije"/>
    <n v="0"/>
    <n v="0"/>
    <m/>
    <n v="0"/>
    <m/>
    <x v="11"/>
  </r>
  <r>
    <n v="520290205"/>
    <s v="Verblijfkosten sporters/ETU cup junioren"/>
    <n v="1204.6600000000001"/>
    <n v="0"/>
    <m/>
    <n v="1204.6600000000001"/>
    <m/>
    <x v="11"/>
  </r>
  <r>
    <n v="520290206"/>
    <s v="Verblijfkosten sporters/EK023"/>
    <n v="2386.38"/>
    <n v="0"/>
    <m/>
    <n v="2386.38"/>
    <m/>
    <x v="11"/>
  </r>
  <r>
    <n v="520290300"/>
    <s v="Verblijfkosten sporters/EK Eilat"/>
    <n v="0"/>
    <n v="0"/>
    <m/>
    <n v="0"/>
    <m/>
    <x v="11"/>
  </r>
  <r>
    <n v="520290301"/>
    <s v="Verblijfkosten sporters/EK Eilat PARA"/>
    <n v="0"/>
    <n v="0"/>
    <m/>
    <n v="0"/>
    <m/>
    <x v="11"/>
  </r>
  <r>
    <n v="520290305"/>
    <s v="Verblijfkosten sporters/Para alg"/>
    <n v="3438.67"/>
    <n v="0"/>
    <m/>
    <n v="3438.67"/>
    <m/>
    <x v="11"/>
  </r>
  <r>
    <n v="520290350"/>
    <s v="Verblijfkosten sporters/Verzekeringen/WK Sprint"/>
    <n v="0"/>
    <n v="0"/>
    <m/>
    <n v="0"/>
    <m/>
    <x v="11"/>
  </r>
  <r>
    <n v="520290400"/>
    <s v="Verblijfkosten sporters/Trainingsw"/>
    <n v="0"/>
    <n v="0"/>
    <m/>
    <n v="0"/>
    <m/>
    <x v="11"/>
  </r>
  <r>
    <n v="520290401"/>
    <s v="Verblijfkosten sporters/FF"/>
    <n v="0"/>
    <n v="0"/>
    <m/>
    <n v="0"/>
    <m/>
    <x v="11"/>
  </r>
  <r>
    <n v="520290402"/>
    <s v="Verblijfkosten sporters/WK DU Nancy"/>
    <n v="1138.97"/>
    <n v="0"/>
    <m/>
    <n v="1138.97"/>
    <m/>
    <x v="11"/>
  </r>
  <r>
    <n v="520290404"/>
    <s v="Verblijfkosten sporters/WK "/>
    <n v="3069.71"/>
    <n v="0"/>
    <m/>
    <n v="3069.71"/>
    <m/>
    <x v="11"/>
  </r>
  <r>
    <n v="520290501"/>
    <s v="Verblijfkosten sporters/WIK Immenstad"/>
    <n v="0"/>
    <n v="0"/>
    <m/>
    <n v="0"/>
    <m/>
    <x v="11"/>
  </r>
  <r>
    <n v="520290502"/>
    <s v="Verblijfkosten sporters/LA"/>
    <n v="0"/>
    <n v="0"/>
    <m/>
    <n v="0"/>
    <m/>
    <x v="11"/>
  </r>
  <r>
    <n v="520290600"/>
    <s v="Verblijfkosten sporters/overige stages"/>
    <n v="0"/>
    <n v="0"/>
    <m/>
    <n v="0"/>
    <m/>
    <x v="11"/>
  </r>
  <r>
    <n v="520590001"/>
    <s v="Medische Kosten/Stage NZL"/>
    <n v="0"/>
    <n v="0"/>
    <m/>
    <n v="0"/>
    <m/>
    <x v="11"/>
  </r>
  <r>
    <n v="520590002"/>
    <s v="Medische Kosten/Stage St. Raphael"/>
    <n v="0"/>
    <n v="0"/>
    <m/>
    <n v="0"/>
    <m/>
    <x v="11"/>
  </r>
  <r>
    <n v="520590003"/>
    <s v="Medische Kosten/Stage Wanaka mrt"/>
    <n v="0"/>
    <n v="0"/>
    <m/>
    <n v="0"/>
    <m/>
    <x v="11"/>
  </r>
  <r>
    <n v="520590004"/>
    <s v="Medische Kosten/Stage SanDiego"/>
    <n v="0"/>
    <n v="0"/>
    <m/>
    <n v="0"/>
    <m/>
    <x v="11"/>
  </r>
  <r>
    <n v="520590007"/>
    <s v="Medische Kosten/Stage Junioren"/>
    <n v="0"/>
    <n v="0"/>
    <m/>
    <n v="0"/>
    <m/>
    <x v="11"/>
  </r>
  <r>
    <n v="520590009"/>
    <s v="Medische Kosten/Stage Junioren"/>
    <n v="0"/>
    <n v="0"/>
    <m/>
    <n v="0"/>
    <m/>
    <x v="11"/>
  </r>
  <r>
    <n v="520590008"/>
    <s v="Medische kosten/Stage THG"/>
    <n v="0"/>
    <n v="0"/>
    <m/>
    <n v="0"/>
    <m/>
    <x v="11"/>
  </r>
  <r>
    <n v="520590100"/>
    <s v="Medische kosten/WCS Sydney"/>
    <n v="0"/>
    <n v="0"/>
    <m/>
    <n v="0"/>
    <m/>
    <x v="11"/>
  </r>
  <r>
    <n v="520590101"/>
    <s v="Medische kosten/WCS SanDiego"/>
    <n v="0"/>
    <n v="0"/>
    <m/>
    <n v="0"/>
    <m/>
    <x v="11"/>
  </r>
  <r>
    <n v="520590102"/>
    <s v="Medische kosten/WCS Madrid"/>
    <n v="0"/>
    <n v="0"/>
    <m/>
    <n v="0"/>
    <m/>
    <x v="11"/>
  </r>
  <r>
    <n v="520590103"/>
    <s v="Medische kosten/WCS Kitzbuhel"/>
    <n v="0"/>
    <n v="0"/>
    <m/>
    <n v="0"/>
    <m/>
    <x v="11"/>
  </r>
  <r>
    <n v="520590108"/>
    <s v="Medische kosten/WCS Alanya"/>
    <n v="1700.09"/>
    <n v="0"/>
    <m/>
    <n v="1700.09"/>
    <m/>
    <x v="11"/>
  </r>
  <r>
    <n v="520590150"/>
    <s v="Medische kosten/WC Wedstrijden"/>
    <n v="0"/>
    <n v="0"/>
    <m/>
    <n v="0"/>
    <m/>
    <x v="11"/>
  </r>
  <r>
    <n v="520590201"/>
    <s v="Medische kosten/WK Auckland"/>
    <n v="0"/>
    <n v="0"/>
    <m/>
    <n v="0"/>
    <m/>
    <x v="11"/>
  </r>
  <r>
    <n v="520590300"/>
    <s v="Medische kosten/EK Eilat"/>
    <n v="0"/>
    <n v="0"/>
    <m/>
    <n v="0"/>
    <m/>
    <x v="11"/>
  </r>
  <r>
    <n v="520590301"/>
    <s v="Medische kosten/EK Eilat PARA"/>
    <n v="0"/>
    <n v="0"/>
    <m/>
    <n v="0"/>
    <m/>
    <x v="11"/>
  </r>
  <r>
    <n v="520590305"/>
    <s v="Medische kosten/ PARA"/>
    <n v="215"/>
    <n v="0"/>
    <m/>
    <n v="215"/>
    <m/>
    <x v="11"/>
  </r>
  <r>
    <n v="520590350"/>
    <s v="Medische kosten/WK Gold Coast"/>
    <n v="0"/>
    <n v="0"/>
    <m/>
    <n v="0"/>
    <m/>
    <x v="11"/>
  </r>
  <r>
    <n v="520690305"/>
    <s v="Overige kosten/ PARA"/>
    <n v="343.71"/>
    <n v="0"/>
    <m/>
    <n v="343.71"/>
    <m/>
    <x v="11"/>
  </r>
  <r>
    <n v="520990501"/>
    <s v="Eigen bijdrage atleten/Triathleten selectie"/>
    <n v="0"/>
    <n v="0"/>
    <m/>
    <n v="0"/>
    <m/>
    <x v="11"/>
  </r>
  <r>
    <n v="520990000"/>
    <s v="Eigen bijdrage atleten/Sel 2012"/>
    <n v="0"/>
    <n v="6100"/>
    <m/>
    <n v="-6100"/>
    <m/>
    <x v="11"/>
  </r>
  <r>
    <n v="520990002"/>
    <s v="Eigen bijdrage atleten/Stage St. Raphael"/>
    <n v="0"/>
    <n v="0"/>
    <m/>
    <n v="0"/>
    <m/>
    <x v="11"/>
  </r>
  <r>
    <n v="520990003"/>
    <s v="Eigen bijdrage atleten/Stage Mall"/>
    <n v="0"/>
    <n v="0"/>
    <m/>
    <n v="0"/>
    <m/>
    <x v="11"/>
  </r>
  <r>
    <n v="520990005"/>
    <s v="Eigen bijdrage atleten/Stage Font"/>
    <n v="0"/>
    <n v="0"/>
    <m/>
    <n v="0"/>
    <m/>
    <x v="11"/>
  </r>
  <r>
    <n v="520990006"/>
    <s v="Eigen bijdrage atleten/Stage Spanje"/>
    <n v="0"/>
    <n v="3854"/>
    <m/>
    <n v="-3854"/>
    <m/>
    <x v="11"/>
  </r>
  <r>
    <n v="520990007"/>
    <s v="Eigen bijdrage atleten/Stage Sittard atleten"/>
    <n v="0"/>
    <n v="387.5"/>
    <m/>
    <n v="-387.5"/>
    <m/>
    <x v="11"/>
  </r>
  <r>
    <n v="520990008"/>
    <s v="Eigen bijdrage atleten/Stage ZA"/>
    <n v="0"/>
    <n v="3340"/>
    <m/>
    <n v="-3340"/>
    <m/>
    <x v="11"/>
  </r>
  <r>
    <n v="520990100"/>
    <s v="Eigen bijdrage atleten/2020 WC Sydney"/>
    <n v="0"/>
    <n v="0"/>
    <m/>
    <n v="0"/>
    <m/>
    <x v="11"/>
  </r>
  <r>
    <n v="520990102"/>
    <s v="Eigen bijdrage atleten/2020 WC Madrid"/>
    <n v="0"/>
    <n v="0"/>
    <m/>
    <n v="0"/>
    <m/>
    <x v="11"/>
  </r>
  <r>
    <n v="520990103"/>
    <s v="Eigen bijdrage atleten/kitzbuhel"/>
    <n v="0"/>
    <n v="741"/>
    <m/>
    <n v="-741"/>
    <m/>
    <x v="11"/>
  </r>
  <r>
    <n v="520990150"/>
    <s v="Eigen bijdrage atleten/2020 WC Wedstrijden"/>
    <n v="0"/>
    <n v="979"/>
    <m/>
    <n v="-979"/>
    <m/>
    <x v="11"/>
  </r>
  <r>
    <n v="520990200"/>
    <s v="Eigen bijdrage atleten/ETU Cup"/>
    <n v="0"/>
    <n v="6505"/>
    <m/>
    <n v="-6505"/>
    <m/>
    <x v="11"/>
  </r>
  <r>
    <n v="520990201"/>
    <s v="Eigen bijdrage atleten/ITU Alanya"/>
    <n v="0"/>
    <n v="0"/>
    <m/>
    <n v="0"/>
    <m/>
    <x v="11"/>
  </r>
  <r>
    <n v="520990206"/>
    <s v="Eigen bijdrage atleten/EK023"/>
    <n v="0"/>
    <n v="0"/>
    <m/>
    <n v="0"/>
    <m/>
    <x v="11"/>
  </r>
  <r>
    <n v="520990400"/>
    <s v="Eigen bijdrage atleten/Trainingsw"/>
    <n v="0"/>
    <n v="0"/>
    <m/>
    <n v="0"/>
    <m/>
    <x v="11"/>
  </r>
  <r>
    <n v="520990401"/>
    <s v="Eigen bijdrage atleten/Stage FF"/>
    <n v="0"/>
    <n v="0"/>
    <m/>
    <n v="0"/>
    <m/>
    <x v="11"/>
  </r>
  <r>
    <n v="520990402"/>
    <s v="Eigen bijdrage atleten/WK DU Nancy"/>
    <n v="0"/>
    <n v="0"/>
    <m/>
    <n v="0"/>
    <m/>
    <x v="11"/>
  </r>
  <r>
    <n v="520990403"/>
    <s v="Eigen bijdrage atleten/WK DU KO"/>
    <n v="0"/>
    <n v="0"/>
    <m/>
    <n v="0"/>
    <m/>
    <x v="11"/>
  </r>
  <r>
    <n v="520990404"/>
    <s v="Eigen bijdrage atleten/EK DU "/>
    <n v="0"/>
    <n v="0"/>
    <m/>
    <n v="0"/>
    <m/>
    <x v="11"/>
  </r>
  <r>
    <n v="520990500"/>
    <s v="Eigen bijdrage atleten/RTC atleten"/>
    <n v="0"/>
    <n v="2500"/>
    <m/>
    <n v="-2500"/>
    <m/>
    <x v="11"/>
  </r>
  <r>
    <n v="520990501"/>
    <s v="Eigen bijdrage atleten/Weekend"/>
    <n v="0"/>
    <n v="1262.5"/>
    <m/>
    <n v="-1262.5"/>
    <m/>
    <x v="11"/>
  </r>
  <r>
    <n v="520990600"/>
    <s v="Eigen bijdrage atleten/overige stages en wedstrijden"/>
    <n v="0"/>
    <n v="0"/>
    <m/>
    <n v="0"/>
    <m/>
    <x v="11"/>
  </r>
  <r>
    <n v="520990600"/>
    <s v="Eigen bijdrage atleten/Eilat"/>
    <n v="0"/>
    <n v="0"/>
    <m/>
    <n v="0"/>
    <m/>
    <x v="11"/>
  </r>
  <r>
    <n v="5300"/>
    <s v="Fietsmeting en overige testen OD/NTC/TO"/>
    <n v="0"/>
    <n v="0"/>
    <m/>
    <n v="0"/>
    <m/>
    <x v="11"/>
  </r>
  <r>
    <n v="5301"/>
    <s v="Fietsmeting en overige testen DU"/>
    <n v="0"/>
    <n v="0"/>
    <m/>
    <n v="0"/>
    <m/>
    <x v="11"/>
  </r>
  <r>
    <n v="5302"/>
    <s v="Fietsmeting en overige testen LA"/>
    <n v="0"/>
    <n v="0"/>
    <m/>
    <n v="0"/>
    <m/>
    <x v="11"/>
  </r>
  <r>
    <n v="5400"/>
    <s v="Zwemaccommodatie"/>
    <n v="22214.799999999999"/>
    <n v="0"/>
    <m/>
    <n v="22214.799999999999"/>
    <m/>
    <x v="11"/>
  </r>
  <r>
    <n v="540090007"/>
    <s v="Zwemaccommodatie/Stage"/>
    <n v="0"/>
    <n v="0"/>
    <m/>
    <n v="0"/>
    <m/>
    <x v="11"/>
  </r>
  <r>
    <n v="5401"/>
    <s v="Atletiekaccommodatie"/>
    <n v="0"/>
    <n v="0"/>
    <m/>
    <n v="0"/>
    <m/>
    <x v="11"/>
  </r>
  <r>
    <n v="5402"/>
    <s v="Binnenhal / krachtcentrum"/>
    <n v="2967"/>
    <n v="0"/>
    <m/>
    <n v="2967"/>
    <m/>
    <x v="11"/>
  </r>
  <r>
    <n v="5403"/>
    <s v="Wielerbaan"/>
    <n v="0"/>
    <n v="0"/>
    <m/>
    <n v="0"/>
    <m/>
    <x v="11"/>
  </r>
  <r>
    <n v="5404"/>
    <s v="Zwemaccomodatie Kerkrade"/>
    <n v="942.5"/>
    <n v="0"/>
    <m/>
    <n v="942.5"/>
    <m/>
    <x v="11"/>
  </r>
  <r>
    <n v="5405"/>
    <s v="Zwemaccomodatie RTC"/>
    <n v="9346.2000000000007"/>
    <n v="0"/>
    <m/>
    <n v="9346.2000000000007"/>
    <m/>
    <x v="11"/>
  </r>
  <r>
    <n v="5410"/>
    <s v="Lidmaatschappen Unitas/TV Stein"/>
    <n v="0"/>
    <n v="0"/>
    <m/>
    <n v="0"/>
    <m/>
    <x v="11"/>
  </r>
  <r>
    <n v="5420"/>
    <s v="Huisvesting NTC"/>
    <n v="8233.56"/>
    <n v="0"/>
    <m/>
    <n v="8233.56"/>
    <m/>
    <x v="11"/>
  </r>
  <r>
    <n v="5421"/>
    <s v="TV en Internet NTC"/>
    <n v="431.6"/>
    <n v="0"/>
    <m/>
    <n v="431.6"/>
    <m/>
    <x v="11"/>
  </r>
  <r>
    <n v="5422"/>
    <s v="Gas en electra NTC"/>
    <n v="0"/>
    <n v="0"/>
    <m/>
    <n v="0"/>
    <m/>
    <x v="11"/>
  </r>
  <r>
    <n v="5423"/>
    <s v="Water NTC"/>
    <n v="0"/>
    <n v="0"/>
    <m/>
    <n v="0"/>
    <m/>
    <x v="11"/>
  </r>
  <r>
    <n v="5424"/>
    <s v="Overige kosten NTC"/>
    <n v="332.14"/>
    <n v="0"/>
    <m/>
    <n v="332.14"/>
    <m/>
    <x v="11"/>
  </r>
  <r>
    <n v="5500"/>
    <s v="Materiaalkosten OD/NTC/TO"/>
    <n v="16660.45"/>
    <n v="0"/>
    <m/>
    <n v="16660.45"/>
    <m/>
    <x v="11"/>
  </r>
  <r>
    <n v="5501"/>
    <s v="Matriaal Para"/>
    <n v="361.8"/>
    <n v="0"/>
    <m/>
    <n v="361.8"/>
    <m/>
    <x v="11"/>
  </r>
  <r>
    <n v="5502"/>
    <s v="Matriaalkosten RTC"/>
    <n v="255.35"/>
    <n v="0"/>
    <m/>
    <n v="255.35"/>
    <m/>
    <x v="11"/>
  </r>
  <r>
    <n v="7000"/>
    <s v="Kosten TTN3 - Docenten"/>
    <n v="10089.719999999999"/>
    <n v="0"/>
    <m/>
    <n v="10089.719999999999"/>
    <m/>
    <x v="23"/>
  </r>
  <r>
    <n v="7001"/>
    <s v="Kosten TTN3 - Accommodaties"/>
    <n v="0"/>
    <n v="0"/>
    <m/>
    <n v="0"/>
    <m/>
    <x v="23"/>
  </r>
  <r>
    <n v="7002"/>
    <s v="Inkomsten TTN3 -opleiding"/>
    <n v="0"/>
    <n v="11355"/>
    <m/>
    <n v="-11355"/>
    <m/>
    <x v="24"/>
  </r>
  <r>
    <n v="7004"/>
    <s v="Kosten TBN1"/>
    <n v="75"/>
    <n v="0"/>
    <m/>
    <n v="75"/>
    <m/>
    <x v="23"/>
  </r>
  <r>
    <n v="7005"/>
    <s v="Kosten TLN2- Docenten"/>
    <n v="0"/>
    <n v="0"/>
    <m/>
    <n v="0"/>
    <m/>
    <x v="23"/>
  </r>
  <r>
    <n v="7006"/>
    <s v="Kosten Speaker cursuc"/>
    <n v="0"/>
    <n v="0"/>
    <m/>
    <n v="0"/>
    <m/>
    <x v="23"/>
  </r>
  <r>
    <n v="7012"/>
    <s v="Inkomsten trainers opleidingen"/>
    <n v="0"/>
    <n v="0"/>
    <m/>
    <n v="0"/>
    <m/>
    <x v="15"/>
  </r>
  <r>
    <n v="7013"/>
    <s v="Inkomsten speaker cursus"/>
    <n v="0"/>
    <n v="0"/>
    <m/>
    <n v="0"/>
    <m/>
    <x v="15"/>
  </r>
  <r>
    <n v="7100"/>
    <s v="Kosten opleiding Jury A"/>
    <n v="0"/>
    <n v="0"/>
    <m/>
    <n v="0"/>
    <m/>
    <x v="23"/>
  </r>
  <r>
    <n v="7130"/>
    <s v="Kosten opleiding NG"/>
    <n v="0"/>
    <n v="0"/>
    <m/>
    <n v="0"/>
    <m/>
    <x v="23"/>
  </r>
  <r>
    <n v="7150"/>
    <s v="Overige kosten kader/desk.bevordering"/>
    <n v="2500"/>
    <n v="0"/>
    <m/>
    <n v="2500"/>
    <m/>
    <x v="23"/>
  </r>
  <r>
    <n v="7200"/>
    <s v="Jubileumkosten"/>
    <n v="0"/>
    <n v="0"/>
    <m/>
    <n v="0"/>
    <m/>
    <x v="17"/>
  </r>
  <r>
    <n v="8000"/>
    <s v="Contributies individuele leden"/>
    <n v="0"/>
    <n v="74089.320000000007"/>
    <m/>
    <n v="-74089.320000000007"/>
    <m/>
    <x v="25"/>
  </r>
  <r>
    <n v="8001"/>
    <s v="Contributies verenigingsleden"/>
    <n v="0"/>
    <n v="142650.1"/>
    <m/>
    <n v="-142650.1"/>
    <m/>
    <x v="25"/>
  </r>
  <r>
    <n v="8002"/>
    <s v="Contributie verenigingen"/>
    <n v="0"/>
    <n v="8792.99"/>
    <m/>
    <n v="-8792.99"/>
    <m/>
    <x v="25"/>
  </r>
  <r>
    <n v="8003"/>
    <s v="Contributie organisaties"/>
    <n v="0"/>
    <n v="4066.99"/>
    <m/>
    <n v="-4066.99"/>
    <m/>
    <x v="25"/>
  </r>
  <r>
    <n v="8004"/>
    <s v="Organisatievergunningen"/>
    <n v="0"/>
    <n v="31263.3"/>
    <m/>
    <n v="-31263.3"/>
    <m/>
    <x v="26"/>
  </r>
  <r>
    <n v="8005"/>
    <s v="Inkomsten NK's &amp; Elitewedstrijden"/>
    <n v="0"/>
    <n v="34170"/>
    <m/>
    <n v="-34170"/>
    <m/>
    <x v="26"/>
  </r>
  <r>
    <n v="8006"/>
    <s v="Contributie aspirant leden"/>
    <n v="0"/>
    <n v="0"/>
    <m/>
    <n v="0"/>
    <m/>
    <x v="25"/>
  </r>
  <r>
    <n v="8008"/>
    <s v="Deelnemersafdrachten"/>
    <n v="0"/>
    <n v="21816.47"/>
    <m/>
    <n v="-21816.47"/>
    <m/>
    <x v="26"/>
  </r>
  <r>
    <n v="8009"/>
    <s v="Eredivisie"/>
    <n v="0"/>
    <n v="26800"/>
    <m/>
    <n v="-26800"/>
    <m/>
    <x v="25"/>
  </r>
  <r>
    <n v="8010"/>
    <s v="Contributie D-licenties"/>
    <n v="0"/>
    <n v="33797.1"/>
    <m/>
    <n v="-33797.1"/>
    <m/>
    <x v="25"/>
  </r>
  <r>
    <n v="8200"/>
    <s v="Stimuleringssubsidie"/>
    <n v="0"/>
    <n v="0"/>
    <m/>
    <n v="0"/>
    <m/>
    <x v="27"/>
  </r>
  <r>
    <n v="8300"/>
    <s v="Inkomsten/bijdrage circuits"/>
    <n v="0"/>
    <n v="1300"/>
    <m/>
    <n v="-1300"/>
    <m/>
    <x v="15"/>
  </r>
  <r>
    <n v="8500"/>
    <s v="Subsidies Lotto-gelden"/>
    <n v="0"/>
    <n v="0"/>
    <m/>
    <n v="0"/>
    <m/>
    <x v="27"/>
  </r>
  <r>
    <n v="8501"/>
    <s v="Subsidies NOC*NSF"/>
    <n v="0"/>
    <n v="268950.5"/>
    <m/>
    <n v="-268950.5"/>
    <m/>
    <x v="27"/>
  </r>
  <r>
    <n v="8502"/>
    <s v="NOC Sportopleiding bonden"/>
    <n v="0"/>
    <n v="4162.5"/>
    <m/>
    <n v="-4162.5"/>
    <m/>
    <x v="27"/>
  </r>
  <r>
    <n v="8503"/>
    <s v="NOC Alg functioneren/FOB"/>
    <n v="0"/>
    <n v="95391.75"/>
    <m/>
    <n v="-95391.75"/>
    <m/>
    <x v="27"/>
  </r>
  <r>
    <n v="8504"/>
    <s v="NOC Coaches aan de Top"/>
    <n v="0"/>
    <n v="0"/>
    <m/>
    <n v="0"/>
    <m/>
    <x v="27"/>
  </r>
  <r>
    <n v="8505"/>
    <s v="NOC marketingrechten"/>
    <n v="0"/>
    <n v="0"/>
    <m/>
    <n v="0"/>
    <m/>
    <x v="27"/>
  </r>
  <r>
    <n v="8506"/>
    <s v="NOC Evenementen"/>
    <n v="0"/>
    <n v="5611.5"/>
    <m/>
    <n v="-5611.5"/>
    <m/>
    <x v="27"/>
  </r>
  <r>
    <n v="8507"/>
    <s v="Flevoland Provincie+Almere"/>
    <n v="0"/>
    <n v="39241.46"/>
    <m/>
    <n v="-39241.46"/>
    <m/>
    <x v="27"/>
  </r>
  <r>
    <n v="8508"/>
    <s v="ASR/Para subsidie"/>
    <n v="0"/>
    <n v="0"/>
    <m/>
    <n v="0"/>
    <m/>
    <x v="27"/>
  </r>
  <r>
    <n v="8509"/>
    <s v="NOC Veilig sportklimaat"/>
    <n v="0"/>
    <n v="7014.45"/>
    <m/>
    <n v="-7014.45"/>
    <m/>
    <x v="27"/>
  </r>
  <r>
    <n v="8510"/>
    <s v="VWS NASB"/>
    <n v="0"/>
    <n v="0"/>
    <m/>
    <n v="0"/>
    <m/>
    <x v="27"/>
  </r>
  <r>
    <n v="8511"/>
    <s v="Subsidies VWS Topsport"/>
    <n v="0"/>
    <n v="0"/>
    <m/>
    <n v="0"/>
    <m/>
    <x v="27"/>
  </r>
  <r>
    <n v="8512"/>
    <s v="VWS Talentontwikkeling"/>
    <n v="0"/>
    <n v="0"/>
    <m/>
    <n v="0"/>
    <m/>
    <x v="27"/>
  </r>
  <r>
    <n v="8513"/>
    <s v="Subsidies VWS Medische activiteiten"/>
    <n v="0"/>
    <n v="0"/>
    <m/>
    <n v="0"/>
    <m/>
    <x v="27"/>
  </r>
  <r>
    <n v="8514"/>
    <s v="Subsidies VWS Internationale evenementen"/>
    <n v="0"/>
    <n v="0"/>
    <m/>
    <n v="0"/>
    <m/>
    <x v="27"/>
  </r>
  <r>
    <n v="8515"/>
    <s v="Subsidies VWS Talentontwikkeling"/>
    <n v="0"/>
    <n v="0"/>
    <m/>
    <n v="0"/>
    <m/>
    <x v="27"/>
  </r>
  <r>
    <n v="8516"/>
    <s v="Sudsidie NTC"/>
    <n v="0"/>
    <n v="37336.75"/>
    <m/>
    <n v="-37336.75"/>
    <m/>
    <x v="27"/>
  </r>
  <r>
    <n v="8517"/>
    <s v="Provincie Limburg"/>
    <n v="0"/>
    <n v="135000"/>
    <m/>
    <n v="-135000"/>
    <m/>
    <x v="27"/>
  </r>
  <r>
    <n v="8518"/>
    <s v="Triathlon Zuil"/>
    <n v="0"/>
    <n v="45024.3"/>
    <m/>
    <n v="-45024.3"/>
    <m/>
    <x v="27"/>
  </r>
  <r>
    <n v="8519"/>
    <s v="Doorgestuurde subsidies"/>
    <n v="0"/>
    <n v="0"/>
    <m/>
    <n v="0"/>
    <m/>
    <x v="27"/>
  </r>
  <r>
    <n v="8598"/>
    <s v="Teveel ontvangen subsidie VWS"/>
    <n v="0"/>
    <n v="0"/>
    <m/>
    <n v="0"/>
    <m/>
    <x v="27"/>
  </r>
  <r>
    <n v="8600"/>
    <s v="Abonnementsgelden bondsblad"/>
    <n v="0"/>
    <n v="58459.03"/>
    <m/>
    <n v="-58459.03"/>
    <m/>
    <x v="28"/>
  </r>
  <r>
    <n v="8601"/>
    <s v="Advertentieopbrengst TS1"/>
    <n v="0"/>
    <n v="0"/>
    <m/>
    <n v="0"/>
    <m/>
    <x v="28"/>
  </r>
  <r>
    <n v="8602"/>
    <s v="Advertentieopbrengst TS2"/>
    <n v="0"/>
    <n v="0"/>
    <m/>
    <n v="0"/>
    <m/>
    <x v="28"/>
  </r>
  <r>
    <n v="8603"/>
    <s v="Advertentieopbrengst TS3"/>
    <n v="0"/>
    <n v="0"/>
    <m/>
    <n v="0"/>
    <m/>
    <x v="28"/>
  </r>
  <r>
    <n v="8604"/>
    <s v="Advertentieopbrengst TS4"/>
    <n v="0"/>
    <n v="0"/>
    <m/>
    <n v="0"/>
    <m/>
    <x v="28"/>
  </r>
  <r>
    <n v="8605"/>
    <s v="Advertentieopbrengst TS5"/>
    <n v="0"/>
    <n v="0"/>
    <m/>
    <n v="0"/>
    <m/>
    <x v="28"/>
  </r>
  <r>
    <n v="8606"/>
    <s v="Advertentieopbrengst TS6"/>
    <n v="0"/>
    <n v="0"/>
    <m/>
    <n v="0"/>
    <m/>
    <x v="28"/>
  </r>
  <r>
    <n v="8607"/>
    <s v="Advertentieopbrengst TS7"/>
    <n v="0"/>
    <n v="0"/>
    <m/>
    <n v="0"/>
    <m/>
    <x v="28"/>
  </r>
  <r>
    <n v="8608"/>
    <s v="Advertentieopbrengst TS8"/>
    <n v="0"/>
    <n v="0"/>
    <m/>
    <n v="0"/>
    <m/>
    <x v="28"/>
  </r>
  <r>
    <n v="8609"/>
    <s v="Advertentieopbrengst TS9"/>
    <n v="0"/>
    <n v="0"/>
    <m/>
    <n v="0"/>
    <m/>
    <x v="28"/>
  </r>
  <r>
    <n v="8610"/>
    <s v="Advertentieopbrengst TS10"/>
    <n v="0"/>
    <n v="0"/>
    <m/>
    <n v="0"/>
    <m/>
    <x v="28"/>
  </r>
  <r>
    <n v="8611"/>
    <s v="Advertentieopbrengst TS11"/>
    <n v="0"/>
    <n v="0"/>
    <m/>
    <n v="0"/>
    <m/>
    <x v="28"/>
  </r>
  <r>
    <n v="8612"/>
    <s v="Advertentieopbrengst TS12"/>
    <n v="0"/>
    <n v="0"/>
    <m/>
    <n v="0"/>
    <m/>
    <x v="28"/>
  </r>
  <r>
    <n v="8615"/>
    <s v="Overige baten bondsblad"/>
    <n v="0"/>
    <n v="1425"/>
    <m/>
    <n v="-1425"/>
    <m/>
    <x v="28"/>
  </r>
  <r>
    <n v="8901"/>
    <s v="Overige inkomsten topsport"/>
    <n v="0"/>
    <n v="19593.77"/>
    <m/>
    <n v="-19593.77"/>
    <m/>
    <x v="11"/>
  </r>
  <r>
    <n v="8902"/>
    <s v="Inkomsten uit sponsoring"/>
    <n v="0"/>
    <n v="2957.06"/>
    <m/>
    <n v="-2957.06"/>
    <m/>
    <x v="15"/>
  </r>
  <r>
    <n v="8903"/>
    <s v="Omzet Kleding"/>
    <n v="0"/>
    <n v="18048.73"/>
    <m/>
    <n v="-18048.73"/>
    <m/>
    <x v="15"/>
  </r>
  <r>
    <n v="9000"/>
    <s v="Overige baten"/>
    <n v="0"/>
    <n v="0"/>
    <m/>
    <n v="0"/>
    <m/>
    <x v="15"/>
  </r>
  <r>
    <n v="9001"/>
    <s v="Overige lasten"/>
    <n v="0"/>
    <n v="0"/>
    <m/>
    <n v="0"/>
    <m/>
    <x v="16"/>
  </r>
  <r>
    <n v="9002"/>
    <s v="Overige baten"/>
    <n v="0"/>
    <n v="0"/>
    <m/>
    <n v="0"/>
    <m/>
    <x v="15"/>
  </r>
  <r>
    <n v="9100"/>
    <s v="Bijdrage Mediafonds"/>
    <n v="0"/>
    <n v="10000"/>
    <m/>
    <n v="-10000"/>
    <m/>
    <x v="15"/>
  </r>
  <r>
    <n v="9500"/>
    <s v="Rente"/>
    <n v="0"/>
    <n v="1006.07"/>
    <m/>
    <n v="-1006.07"/>
    <m/>
    <x v="29"/>
  </r>
  <r>
    <n v="9998"/>
    <s v="Memoboekingen"/>
    <n v="0"/>
    <n v="0"/>
    <m/>
    <n v="0"/>
    <m/>
    <x v="21"/>
  </r>
  <r>
    <n v="9999"/>
    <s v="Boekingsverschillen"/>
    <n v="4"/>
    <n v="0"/>
    <m/>
    <m/>
    <m/>
    <x v="21"/>
  </r>
  <r>
    <m/>
    <s v="Per saldo"/>
    <n v="1697445.2000000004"/>
    <n v="1697445.21"/>
    <n v="0"/>
    <n v="-4.010000000398918"/>
    <m/>
    <x v="21"/>
  </r>
  <r>
    <m/>
    <s v="Totaal"/>
    <n v="1697445.21"/>
    <n v="1697445.21"/>
    <n v="0"/>
    <m/>
    <m/>
    <x v="21"/>
  </r>
  <r>
    <m/>
    <s v="Verschil"/>
    <n v="-9.9999995436519384E-3"/>
    <n v="0"/>
    <n v="-9.9999995436519384E-3"/>
    <m/>
    <m/>
    <x v="21"/>
  </r>
  <r>
    <m/>
    <m/>
    <m/>
    <m/>
    <m/>
    <m/>
    <m/>
    <x v="21"/>
  </r>
  <r>
    <m/>
    <m/>
    <m/>
    <m/>
    <m/>
    <m/>
    <m/>
    <x v="21"/>
  </r>
  <r>
    <s v="VJP's"/>
    <m/>
    <n v="0"/>
    <n v="0"/>
    <n v="0"/>
    <m/>
    <m/>
    <x v="21"/>
  </r>
  <r>
    <m/>
    <m/>
    <m/>
    <m/>
    <m/>
    <m/>
    <m/>
    <x v="21"/>
  </r>
  <r>
    <m/>
    <m/>
    <m/>
    <m/>
    <m/>
    <m/>
    <m/>
    <x v="21"/>
  </r>
  <r>
    <m/>
    <m/>
    <m/>
    <m/>
    <m/>
    <m/>
    <m/>
    <x v="21"/>
  </r>
  <r>
    <m/>
    <m/>
    <n v="1697445.2000000004"/>
    <n v="1697445.21"/>
    <n v="-9.9999995436519384E-3"/>
    <m/>
    <m/>
    <x v="21"/>
  </r>
  <r>
    <m/>
    <m/>
    <m/>
    <m/>
    <m/>
    <m/>
    <m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Draaitabel2" cacheId="0" applyNumberFormats="0" applyBorderFormats="0" applyFontFormats="0" applyPatternFormats="0" applyAlignmentFormats="0" applyWidthHeightFormats="1" dataCaption="Gegevens" updatedVersion="4" showMemberPropertyTips="0" useAutoFormatting="1" itemPrintTitles="1" createdVersion="1" indent="0" compact="0" compactData="0" gridDropZones="1">
  <location ref="A3:E34" firstHeaderRow="1" firstDataRow="2" firstDataCol="1"/>
  <pivotFields count="8"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0">
        <item x="0"/>
        <item x="5"/>
        <item x="6"/>
        <item x="1"/>
        <item h="1" x="21"/>
        <item x="2"/>
        <item n="JJC" x="3"/>
        <item x="4"/>
        <item x="7"/>
        <item x="8"/>
        <item x="9"/>
        <item x="12"/>
        <item x="22"/>
        <item x="19"/>
        <item x="28"/>
        <item m="1" x="39"/>
        <item m="1" x="52"/>
        <item m="1" x="36"/>
        <item m="1" x="44"/>
        <item m="1" x="51"/>
        <item m="1" x="47"/>
        <item m="1" x="41"/>
        <item m="1" x="32"/>
        <item m="1" x="31"/>
        <item m="1" x="50"/>
        <item m="1" x="58"/>
        <item m="1" x="43"/>
        <item m="1" x="55"/>
        <item m="1" x="53"/>
        <item m="1" x="35"/>
        <item m="1" x="56"/>
        <item m="1" x="54"/>
        <item m="1" x="46"/>
        <item m="1" x="40"/>
        <item m="1" x="33"/>
        <item m="1" x="49"/>
        <item m="1" x="48"/>
        <item m="1" x="30"/>
        <item m="1" x="42"/>
        <item m="1" x="37"/>
        <item m="1" x="38"/>
        <item m="1" x="45"/>
        <item m="1" x="57"/>
        <item x="13"/>
        <item x="14"/>
        <item x="15"/>
        <item x="16"/>
        <item x="18"/>
        <item x="11"/>
        <item x="10"/>
        <item n="Eredivisie kosten" x="20"/>
        <item x="23"/>
        <item n="RBR omzet" x="17"/>
        <item x="25"/>
        <item x="26"/>
        <item x="27"/>
        <item x="29"/>
        <item m="1" x="34"/>
        <item x="24"/>
        <item t="default"/>
      </items>
    </pivotField>
  </pivotFields>
  <rowFields count="1">
    <field x="7"/>
  </rowFields>
  <rowItems count="30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 van Debet Eur" fld="2" baseField="0" baseItem="0"/>
    <dataField name="Som van Credit Eur" fld="3" baseField="0" baseItem="0"/>
    <dataField name="Som van VJP's" fld="4" baseField="0" baseItem="0"/>
    <dataField name="Som van §" fld="5" baseField="0" baseItem="0"/>
  </dataFields>
  <formats count="9">
    <format dxfId="8">
      <pivotArea outline="0" fieldPosition="0">
        <references count="2">
          <reference field="4294967294" count="1" selected="0">
            <x v="3"/>
          </reference>
          <reference field="7" count="1" selected="0">
            <x v="5"/>
          </reference>
        </references>
      </pivotArea>
    </format>
    <format dxfId="7">
      <pivotArea outline="0" fieldPosition="0">
        <references count="2">
          <reference field="4294967294" count="1" selected="0">
            <x v="3"/>
          </reference>
          <reference field="7" count="1" selected="0">
            <x v="5"/>
          </reference>
        </references>
      </pivotArea>
    </format>
    <format dxfId="6">
      <pivotArea outline="0" fieldPosition="0">
        <references count="2">
          <reference field="4294967294" count="1" selected="0">
            <x v="3"/>
          </reference>
          <reference field="7" count="1" selected="0">
            <x v="14"/>
          </reference>
        </references>
      </pivotArea>
    </format>
    <format dxfId="5">
      <pivotArea outline="0" fieldPosition="0">
        <references count="2">
          <reference field="4294967294" count="1" selected="0">
            <x v="3"/>
          </reference>
          <reference field="7" count="1" selected="0">
            <x v="45"/>
          </reference>
        </references>
      </pivotArea>
    </format>
    <format dxfId="4">
      <pivotArea outline="0" fieldPosition="0">
        <references count="2">
          <reference field="4294967294" count="1" selected="0">
            <x v="3"/>
          </reference>
          <reference field="7" count="1" selected="0">
            <x v="53"/>
          </reference>
        </references>
      </pivotArea>
    </format>
    <format dxfId="3">
      <pivotArea outline="0" fieldPosition="0">
        <references count="2">
          <reference field="4294967294" count="1" selected="0">
            <x v="3"/>
          </reference>
          <reference field="7" count="1" selected="0">
            <x v="2"/>
          </reference>
        </references>
      </pivotArea>
    </format>
    <format dxfId="2">
      <pivotArea outline="0" fieldPosition="0">
        <references count="2">
          <reference field="4294967294" count="1" selected="0">
            <x v="3"/>
          </reference>
          <reference field="7" count="1" selected="0">
            <x v="55"/>
          </reference>
        </references>
      </pivotArea>
    </format>
    <format dxfId="1">
      <pivotArea outline="0" fieldPosition="0">
        <references count="1">
          <reference field="7" count="1" selected="0">
            <x v="10"/>
          </reference>
        </references>
      </pivotArea>
    </format>
    <format dxfId="0">
      <pivotArea dataOnly="0" labelOnly="1" outline="0" fieldPosition="0">
        <references count="1">
          <reference field="7" count="1">
            <x v="1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6"/>
  <sheetViews>
    <sheetView topLeftCell="A22" workbookViewId="0">
      <selection activeCell="F31" sqref="F31"/>
    </sheetView>
  </sheetViews>
  <sheetFormatPr defaultRowHeight="15.6" x14ac:dyDescent="0.3"/>
  <cols>
    <col min="1" max="1" width="34" customWidth="1"/>
    <col min="2" max="2" width="15.8984375" customWidth="1"/>
    <col min="3" max="3" width="16" customWidth="1"/>
    <col min="4" max="4" width="12.3984375" customWidth="1"/>
    <col min="5" max="6" width="10.59765625" bestFit="1" customWidth="1"/>
  </cols>
  <sheetData>
    <row r="3" spans="1:10" x14ac:dyDescent="0.3">
      <c r="A3" s="212"/>
      <c r="B3" s="213" t="s">
        <v>343</v>
      </c>
      <c r="C3" s="214"/>
      <c r="D3" s="214"/>
      <c r="E3" s="215"/>
    </row>
    <row r="4" spans="1:10" x14ac:dyDescent="0.3">
      <c r="A4" s="213" t="s">
        <v>341</v>
      </c>
      <c r="B4" s="212" t="s">
        <v>344</v>
      </c>
      <c r="C4" s="216" t="s">
        <v>345</v>
      </c>
      <c r="D4" s="216" t="s">
        <v>346</v>
      </c>
      <c r="E4" s="217" t="s">
        <v>347</v>
      </c>
    </row>
    <row r="5" spans="1:10" x14ac:dyDescent="0.3">
      <c r="A5" s="212" t="s">
        <v>317</v>
      </c>
      <c r="B5" s="218">
        <v>57337.55</v>
      </c>
      <c r="C5" s="219">
        <v>47886.75</v>
      </c>
      <c r="D5" s="219"/>
      <c r="E5" s="220">
        <v>9450.8000000000029</v>
      </c>
      <c r="F5" s="171" t="s">
        <v>491</v>
      </c>
      <c r="G5" s="108"/>
      <c r="H5" s="108"/>
      <c r="I5" s="108"/>
      <c r="J5" s="108"/>
    </row>
    <row r="6" spans="1:10" x14ac:dyDescent="0.3">
      <c r="A6" s="221" t="s">
        <v>250</v>
      </c>
      <c r="B6" s="222">
        <v>267579.86</v>
      </c>
      <c r="C6" s="169">
        <v>0</v>
      </c>
      <c r="D6" s="169"/>
      <c r="E6" s="223">
        <v>267579.86</v>
      </c>
      <c r="F6" s="181" t="s">
        <v>491</v>
      </c>
      <c r="G6" s="108"/>
      <c r="H6" s="108"/>
      <c r="I6" s="108"/>
      <c r="J6" s="108"/>
    </row>
    <row r="7" spans="1:10" x14ac:dyDescent="0.3">
      <c r="A7" s="221" t="s">
        <v>254</v>
      </c>
      <c r="B7" s="222">
        <v>166282.81999999998</v>
      </c>
      <c r="C7" s="169">
        <v>20177.739999999998</v>
      </c>
      <c r="D7" s="169"/>
      <c r="E7" s="230">
        <v>146105.07999999999</v>
      </c>
      <c r="F7" s="211" t="s">
        <v>491</v>
      </c>
      <c r="G7" s="211"/>
      <c r="H7" s="108"/>
      <c r="I7" s="108"/>
      <c r="J7" s="108"/>
    </row>
    <row r="8" spans="1:10" x14ac:dyDescent="0.3">
      <c r="A8" s="221" t="s">
        <v>68</v>
      </c>
      <c r="B8" s="222">
        <v>32744.37</v>
      </c>
      <c r="C8" s="169">
        <v>0</v>
      </c>
      <c r="D8" s="169"/>
      <c r="E8" s="223">
        <v>32744.37</v>
      </c>
      <c r="F8" s="211"/>
      <c r="G8" s="211"/>
      <c r="H8" s="108"/>
      <c r="I8" s="108"/>
      <c r="J8" s="108"/>
    </row>
    <row r="9" spans="1:10" x14ac:dyDescent="0.3">
      <c r="A9" s="221" t="s">
        <v>318</v>
      </c>
      <c r="B9" s="222">
        <v>0</v>
      </c>
      <c r="C9" s="169">
        <v>164274.85999999999</v>
      </c>
      <c r="D9" s="169"/>
      <c r="E9" s="228">
        <v>-164274.85999999999</v>
      </c>
      <c r="F9" s="238" t="s">
        <v>491</v>
      </c>
      <c r="G9" s="211"/>
      <c r="H9" s="108"/>
      <c r="I9" s="108"/>
      <c r="J9" s="108"/>
    </row>
    <row r="10" spans="1:10" x14ac:dyDescent="0.3">
      <c r="A10" s="221" t="s">
        <v>629</v>
      </c>
      <c r="B10" s="222">
        <v>0</v>
      </c>
      <c r="C10" s="169">
        <v>0</v>
      </c>
      <c r="D10" s="169"/>
      <c r="E10" s="223">
        <v>0</v>
      </c>
      <c r="F10" s="211" t="s">
        <v>491</v>
      </c>
      <c r="G10" s="108"/>
      <c r="H10" s="108"/>
      <c r="I10" s="108"/>
      <c r="J10" s="108"/>
    </row>
    <row r="11" spans="1:10" x14ac:dyDescent="0.3">
      <c r="A11" s="221" t="s">
        <v>253</v>
      </c>
      <c r="B11" s="222">
        <v>1792.5500000000002</v>
      </c>
      <c r="C11" s="169">
        <v>16069.58</v>
      </c>
      <c r="D11" s="169">
        <v>-18500</v>
      </c>
      <c r="E11" s="223">
        <v>-32777.03</v>
      </c>
      <c r="F11" s="211" t="s">
        <v>491</v>
      </c>
      <c r="G11" s="108"/>
      <c r="H11" s="108"/>
      <c r="I11" s="108"/>
      <c r="J11" s="108"/>
    </row>
    <row r="12" spans="1:10" x14ac:dyDescent="0.3">
      <c r="A12" s="221" t="s">
        <v>257</v>
      </c>
      <c r="B12" s="222">
        <v>0</v>
      </c>
      <c r="C12" s="169">
        <v>22404.93</v>
      </c>
      <c r="D12" s="169">
        <v>630.41</v>
      </c>
      <c r="E12" s="223">
        <v>-21774.52</v>
      </c>
      <c r="F12" s="211" t="s">
        <v>491</v>
      </c>
      <c r="G12" s="108"/>
      <c r="H12" s="108"/>
      <c r="I12" s="108"/>
      <c r="J12" s="108"/>
    </row>
    <row r="13" spans="1:10" x14ac:dyDescent="0.3">
      <c r="A13" s="221" t="s">
        <v>319</v>
      </c>
      <c r="B13" s="222">
        <v>0</v>
      </c>
      <c r="C13" s="169">
        <v>15658.81</v>
      </c>
      <c r="D13" s="169"/>
      <c r="E13" s="223">
        <v>-15658.81</v>
      </c>
      <c r="F13" s="211" t="s">
        <v>491</v>
      </c>
      <c r="G13" s="108"/>
      <c r="H13" s="108"/>
      <c r="I13" s="108"/>
      <c r="J13" s="108"/>
    </row>
    <row r="14" spans="1:10" x14ac:dyDescent="0.3">
      <c r="A14" s="256" t="s">
        <v>268</v>
      </c>
      <c r="B14" s="257">
        <v>368543.51</v>
      </c>
      <c r="C14" s="258">
        <v>242229.4</v>
      </c>
      <c r="D14" s="258"/>
      <c r="E14" s="228">
        <v>126314.11</v>
      </c>
      <c r="F14" s="211" t="s">
        <v>491</v>
      </c>
      <c r="G14" s="211"/>
      <c r="H14" s="108"/>
      <c r="I14" s="108"/>
      <c r="J14" s="108"/>
    </row>
    <row r="15" spans="1:10" x14ac:dyDescent="0.3">
      <c r="A15" s="221" t="s">
        <v>300</v>
      </c>
      <c r="B15" s="222">
        <v>16941.34</v>
      </c>
      <c r="C15" s="169">
        <v>0</v>
      </c>
      <c r="D15" s="169"/>
      <c r="E15" s="223">
        <v>16941.34</v>
      </c>
      <c r="F15" s="211" t="s">
        <v>491</v>
      </c>
      <c r="G15" s="171"/>
      <c r="H15" s="108"/>
      <c r="I15" s="108"/>
      <c r="J15" s="108"/>
    </row>
    <row r="16" spans="1:10" x14ac:dyDescent="0.3">
      <c r="A16" s="221" t="s">
        <v>266</v>
      </c>
      <c r="B16" s="222">
        <v>2671</v>
      </c>
      <c r="C16" s="169">
        <v>0</v>
      </c>
      <c r="D16" s="169"/>
      <c r="E16" s="223">
        <v>2671</v>
      </c>
      <c r="F16" s="211" t="s">
        <v>674</v>
      </c>
      <c r="G16" s="171"/>
      <c r="H16" s="108"/>
      <c r="I16" s="108"/>
      <c r="J16" s="108"/>
    </row>
    <row r="17" spans="1:10" x14ac:dyDescent="0.3">
      <c r="A17" s="221" t="s">
        <v>301</v>
      </c>
      <c r="B17" s="222">
        <v>62708.03</v>
      </c>
      <c r="C17" s="169">
        <v>0</v>
      </c>
      <c r="D17" s="169"/>
      <c r="E17" s="223">
        <v>62708.03</v>
      </c>
      <c r="F17" s="211" t="s">
        <v>491</v>
      </c>
      <c r="G17" s="211"/>
      <c r="H17" s="108"/>
      <c r="I17" s="108"/>
      <c r="J17" s="108"/>
    </row>
    <row r="18" spans="1:10" x14ac:dyDescent="0.3">
      <c r="A18" s="221" t="s">
        <v>280</v>
      </c>
      <c r="B18" s="222">
        <v>0</v>
      </c>
      <c r="C18" s="169">
        <v>59884.03</v>
      </c>
      <c r="D18" s="169"/>
      <c r="E18" s="230">
        <v>-59884.03</v>
      </c>
      <c r="F18" s="211" t="s">
        <v>491</v>
      </c>
      <c r="G18" s="171"/>
      <c r="H18" s="108"/>
      <c r="I18" s="108"/>
      <c r="J18" s="108"/>
    </row>
    <row r="19" spans="1:10" x14ac:dyDescent="0.3">
      <c r="A19" s="221" t="s">
        <v>302</v>
      </c>
      <c r="B19" s="222">
        <v>16201.36</v>
      </c>
      <c r="C19" s="169">
        <v>0</v>
      </c>
      <c r="D19" s="169"/>
      <c r="E19" s="223">
        <v>16201.36</v>
      </c>
      <c r="F19" s="211" t="s">
        <v>491</v>
      </c>
      <c r="G19" s="171"/>
      <c r="H19" s="108"/>
      <c r="I19" s="108"/>
      <c r="J19" s="108"/>
    </row>
    <row r="20" spans="1:10" x14ac:dyDescent="0.3">
      <c r="A20" s="221" t="s">
        <v>167</v>
      </c>
      <c r="B20" s="222">
        <v>759.91</v>
      </c>
      <c r="C20" s="169">
        <v>0</v>
      </c>
      <c r="D20" s="169"/>
      <c r="E20" s="223">
        <v>759.91</v>
      </c>
      <c r="F20" s="211" t="s">
        <v>491</v>
      </c>
      <c r="G20" s="171"/>
      <c r="H20" s="108"/>
      <c r="I20" s="108"/>
      <c r="J20" s="108"/>
    </row>
    <row r="21" spans="1:10" x14ac:dyDescent="0.3">
      <c r="A21" s="221" t="s">
        <v>322</v>
      </c>
      <c r="B21" s="222">
        <v>15986.34</v>
      </c>
      <c r="C21" s="169">
        <v>32305.79</v>
      </c>
      <c r="D21" s="169"/>
      <c r="E21" s="230">
        <v>-16319.449999999999</v>
      </c>
      <c r="F21" s="211" t="s">
        <v>491</v>
      </c>
      <c r="G21" s="171"/>
      <c r="H21" s="108"/>
      <c r="I21" s="108"/>
      <c r="J21" s="108"/>
    </row>
    <row r="22" spans="1:10" x14ac:dyDescent="0.3">
      <c r="A22" s="221" t="s">
        <v>269</v>
      </c>
      <c r="B22" s="222">
        <v>31876.36</v>
      </c>
      <c r="C22" s="169">
        <v>0</v>
      </c>
      <c r="D22" s="169">
        <v>6869.59</v>
      </c>
      <c r="E22" s="223">
        <v>38745.950000000004</v>
      </c>
      <c r="F22" s="211" t="s">
        <v>491</v>
      </c>
      <c r="G22" s="211"/>
      <c r="H22" s="108"/>
      <c r="I22" s="108"/>
      <c r="J22" s="108"/>
    </row>
    <row r="23" spans="1:10" x14ac:dyDescent="0.3">
      <c r="A23" s="221" t="s">
        <v>304</v>
      </c>
      <c r="B23" s="222">
        <v>30274.279999999995</v>
      </c>
      <c r="C23" s="169">
        <v>0</v>
      </c>
      <c r="D23" s="169"/>
      <c r="E23" s="223">
        <v>30274.279999999995</v>
      </c>
      <c r="F23" s="211" t="s">
        <v>491</v>
      </c>
      <c r="G23" s="211"/>
      <c r="H23" s="108"/>
      <c r="I23" s="108"/>
      <c r="J23" s="108"/>
    </row>
    <row r="24" spans="1:10" x14ac:dyDescent="0.3">
      <c r="A24" s="221" t="s">
        <v>164</v>
      </c>
      <c r="B24" s="222">
        <v>501212.76</v>
      </c>
      <c r="C24" s="169">
        <v>45262.770000000004</v>
      </c>
      <c r="D24" s="169"/>
      <c r="E24" s="223">
        <v>455949.99</v>
      </c>
      <c r="F24" s="238" t="s">
        <v>491</v>
      </c>
      <c r="G24" s="211"/>
      <c r="H24" s="171"/>
      <c r="I24" s="171"/>
      <c r="J24" s="108"/>
    </row>
    <row r="25" spans="1:10" x14ac:dyDescent="0.3">
      <c r="A25" s="221" t="s">
        <v>303</v>
      </c>
      <c r="B25" s="222">
        <v>92862.59</v>
      </c>
      <c r="C25" s="169">
        <v>3750</v>
      </c>
      <c r="D25" s="169">
        <v>11000</v>
      </c>
      <c r="E25" s="223">
        <v>100112.59</v>
      </c>
      <c r="F25" s="211" t="s">
        <v>491</v>
      </c>
      <c r="G25" s="211"/>
      <c r="H25" s="108"/>
      <c r="I25" s="108"/>
      <c r="J25" s="108"/>
    </row>
    <row r="26" spans="1:10" x14ac:dyDescent="0.3">
      <c r="A26" s="221" t="s">
        <v>678</v>
      </c>
      <c r="B26" s="222">
        <v>19001.849999999999</v>
      </c>
      <c r="C26" s="169">
        <v>0</v>
      </c>
      <c r="D26" s="169"/>
      <c r="E26" s="223">
        <v>19001.849999999999</v>
      </c>
      <c r="F26" s="211" t="s">
        <v>491</v>
      </c>
      <c r="G26" s="211"/>
      <c r="H26" s="108"/>
      <c r="I26" s="108"/>
      <c r="J26" s="108"/>
    </row>
    <row r="27" spans="1:10" x14ac:dyDescent="0.3">
      <c r="A27" s="221" t="s">
        <v>305</v>
      </c>
      <c r="B27" s="222">
        <v>12664.72</v>
      </c>
      <c r="C27" s="169">
        <v>0</v>
      </c>
      <c r="D27" s="169"/>
      <c r="E27" s="223">
        <v>12664.72</v>
      </c>
      <c r="F27" s="211" t="s">
        <v>491</v>
      </c>
      <c r="G27" s="211"/>
      <c r="H27" s="108"/>
      <c r="I27" s="108"/>
      <c r="J27" s="108"/>
    </row>
    <row r="28" spans="1:10" x14ac:dyDescent="0.3">
      <c r="A28" s="221" t="s">
        <v>675</v>
      </c>
      <c r="B28" s="222">
        <v>0</v>
      </c>
      <c r="C28" s="169">
        <v>0</v>
      </c>
      <c r="D28" s="169"/>
      <c r="E28" s="223">
        <v>0</v>
      </c>
      <c r="F28" s="211" t="s">
        <v>491</v>
      </c>
      <c r="I28" s="241"/>
    </row>
    <row r="29" spans="1:10" x14ac:dyDescent="0.3">
      <c r="A29" s="221" t="s">
        <v>267</v>
      </c>
      <c r="B29" s="222">
        <v>0</v>
      </c>
      <c r="C29" s="169">
        <v>290196.5</v>
      </c>
      <c r="D29" s="169"/>
      <c r="E29" s="230">
        <v>-290196.5</v>
      </c>
      <c r="F29" s="211" t="s">
        <v>491</v>
      </c>
      <c r="G29" s="238"/>
      <c r="H29" s="241"/>
      <c r="I29" s="241"/>
    </row>
    <row r="30" spans="1:10" x14ac:dyDescent="0.3">
      <c r="A30" s="221" t="s">
        <v>278</v>
      </c>
      <c r="B30" s="222">
        <v>0</v>
      </c>
      <c r="C30" s="169">
        <v>87249.77</v>
      </c>
      <c r="D30" s="169"/>
      <c r="E30" s="223">
        <v>-87249.77</v>
      </c>
      <c r="F30" s="211" t="s">
        <v>491</v>
      </c>
      <c r="G30" s="211"/>
    </row>
    <row r="31" spans="1:10" x14ac:dyDescent="0.3">
      <c r="A31" s="221" t="s">
        <v>277</v>
      </c>
      <c r="B31" s="222">
        <v>0</v>
      </c>
      <c r="C31" s="169">
        <v>637733.21000000008</v>
      </c>
      <c r="D31" s="169"/>
      <c r="E31" s="230">
        <v>-637733.21000000008</v>
      </c>
      <c r="F31" s="211"/>
      <c r="G31" s="211"/>
    </row>
    <row r="32" spans="1:10" x14ac:dyDescent="0.3">
      <c r="A32" s="221" t="s">
        <v>259</v>
      </c>
      <c r="B32" s="222">
        <v>0</v>
      </c>
      <c r="C32" s="169">
        <v>1006.07</v>
      </c>
      <c r="D32" s="169"/>
      <c r="E32" s="223">
        <v>-1006.07</v>
      </c>
      <c r="F32" s="211"/>
      <c r="G32" s="211"/>
    </row>
    <row r="33" spans="1:7" x14ac:dyDescent="0.3">
      <c r="A33" s="221" t="s">
        <v>392</v>
      </c>
      <c r="B33" s="222">
        <v>0</v>
      </c>
      <c r="C33" s="169">
        <v>11355</v>
      </c>
      <c r="D33" s="169"/>
      <c r="E33" s="223">
        <v>-11355</v>
      </c>
      <c r="F33" s="211"/>
      <c r="G33" s="211"/>
    </row>
    <row r="34" spans="1:7" x14ac:dyDescent="0.3">
      <c r="A34" s="224" t="s">
        <v>342</v>
      </c>
      <c r="B34" s="225">
        <v>1697441.2000000002</v>
      </c>
      <c r="C34" s="226">
        <v>1697445.2100000002</v>
      </c>
      <c r="D34" s="226">
        <v>0</v>
      </c>
      <c r="E34" s="227">
        <v>-4.0100000002930756</v>
      </c>
      <c r="F34" s="109"/>
    </row>
    <row r="35" spans="1:7" x14ac:dyDescent="0.3">
      <c r="A35" s="256" t="s">
        <v>676</v>
      </c>
      <c r="F35" t="s">
        <v>491</v>
      </c>
    </row>
    <row r="36" spans="1:7" x14ac:dyDescent="0.3">
      <c r="A36" s="256" t="s">
        <v>677</v>
      </c>
      <c r="F36" t="s">
        <v>491</v>
      </c>
    </row>
  </sheetData>
  <phoneticPr fontId="22" type="noConversion"/>
  <pageMargins left="0.75" right="0.75" top="1" bottom="1" header="0.5" footer="0.5"/>
  <pageSetup paperSize="9" scale="59" orientation="portrait" r:id="rId2"/>
  <headerFooter alignWithMargins="0"/>
  <cellWatches>
    <cellWatch r="G13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6">
    <tabColor indexed="13"/>
  </sheetPr>
  <dimension ref="A1:O55"/>
  <sheetViews>
    <sheetView topLeftCell="A7" zoomScaleNormal="100" zoomScaleSheetLayoutView="100" workbookViewId="0">
      <selection activeCell="E36" sqref="E36:E37"/>
    </sheetView>
  </sheetViews>
  <sheetFormatPr defaultColWidth="8.8984375" defaultRowHeight="15" x14ac:dyDescent="0.25"/>
  <cols>
    <col min="1" max="1" width="16.09765625" style="4" customWidth="1"/>
    <col min="2" max="2" width="16.3984375" style="4" customWidth="1"/>
    <col min="3" max="3" width="9.59765625" style="4" customWidth="1"/>
    <col min="4" max="4" width="1.59765625" style="4" customWidth="1"/>
    <col min="5" max="5" width="9.59765625" style="4" customWidth="1"/>
    <col min="6" max="6" width="1.59765625" style="4" customWidth="1"/>
    <col min="7" max="7" width="9.5" style="4" customWidth="1"/>
    <col min="8" max="8" width="1.59765625" style="4" customWidth="1"/>
    <col min="9" max="9" width="9.59765625" style="13" customWidth="1"/>
    <col min="10" max="11" width="8.8984375" style="4"/>
    <col min="12" max="12" width="36.5" style="4" bestFit="1" customWidth="1"/>
    <col min="13" max="16384" width="8.8984375" style="4"/>
  </cols>
  <sheetData>
    <row r="1" spans="1:15" ht="22.8" x14ac:dyDescent="0.4">
      <c r="A1" s="54" t="s">
        <v>27</v>
      </c>
      <c r="B1" s="65"/>
      <c r="C1" s="65"/>
      <c r="D1" s="65"/>
      <c r="E1" s="65"/>
      <c r="F1" s="65"/>
      <c r="G1" s="65"/>
      <c r="H1" s="65"/>
      <c r="I1" s="66"/>
    </row>
    <row r="2" spans="1:15" x14ac:dyDescent="0.25">
      <c r="A2" s="57"/>
      <c r="B2" s="58"/>
      <c r="C2" s="58"/>
      <c r="D2" s="58"/>
      <c r="E2" s="58"/>
      <c r="F2" s="58"/>
      <c r="G2" s="58"/>
      <c r="H2" s="58"/>
      <c r="I2" s="60"/>
    </row>
    <row r="3" spans="1:15" s="7" customFormat="1" ht="13.8" x14ac:dyDescent="0.25">
      <c r="A3" s="42"/>
      <c r="B3" s="42"/>
      <c r="C3" s="52"/>
      <c r="D3" s="52"/>
      <c r="E3" s="180">
        <v>2019</v>
      </c>
      <c r="F3" s="77"/>
      <c r="G3" s="78"/>
      <c r="H3" s="77"/>
      <c r="I3" s="180">
        <v>2018</v>
      </c>
    </row>
    <row r="4" spans="1:15" s="7" customFormat="1" ht="13.8" x14ac:dyDescent="0.25">
      <c r="A4" s="42"/>
      <c r="B4" s="42"/>
      <c r="C4" s="69" t="s">
        <v>256</v>
      </c>
      <c r="D4" s="69"/>
      <c r="E4" s="75" t="s">
        <v>256</v>
      </c>
      <c r="F4" s="75"/>
      <c r="G4" s="76" t="s">
        <v>256</v>
      </c>
      <c r="H4" s="75"/>
      <c r="I4" s="76" t="s">
        <v>256</v>
      </c>
    </row>
    <row r="5" spans="1:15" s="7" customFormat="1" ht="13.8" x14ac:dyDescent="0.25">
      <c r="A5" s="42"/>
      <c r="B5" s="42"/>
      <c r="C5" s="42"/>
      <c r="D5" s="42"/>
      <c r="E5" s="69"/>
      <c r="F5" s="70"/>
      <c r="G5" s="71"/>
      <c r="H5" s="69"/>
      <c r="I5" s="71"/>
    </row>
    <row r="6" spans="1:15" s="7" customFormat="1" ht="13.8" x14ac:dyDescent="0.25">
      <c r="A6" s="72" t="s">
        <v>28</v>
      </c>
      <c r="B6" s="42"/>
      <c r="C6" s="42"/>
      <c r="D6" s="42"/>
      <c r="E6" s="69"/>
      <c r="F6" s="70"/>
      <c r="G6" s="71"/>
      <c r="H6" s="69"/>
      <c r="I6" s="71"/>
    </row>
    <row r="7" spans="1:15" s="7" customFormat="1" ht="13.8" x14ac:dyDescent="0.25">
      <c r="A7" s="42" t="s">
        <v>307</v>
      </c>
      <c r="B7" s="42"/>
      <c r="D7" s="42"/>
      <c r="E7" s="42" t="e">
        <f>Resultatenanalyse!D39</f>
        <v>#REF!</v>
      </c>
      <c r="F7" s="70"/>
      <c r="H7" s="69"/>
      <c r="I7" s="71">
        <v>-58651</v>
      </c>
      <c r="L7" s="184"/>
      <c r="M7" s="184"/>
      <c r="N7" s="184"/>
      <c r="O7" s="184"/>
    </row>
    <row r="8" spans="1:15" s="7" customFormat="1" ht="13.8" x14ac:dyDescent="0.25">
      <c r="A8" s="72"/>
      <c r="B8" s="42"/>
      <c r="C8" s="42"/>
      <c r="D8" s="49"/>
      <c r="E8" s="49" t="s">
        <v>431</v>
      </c>
      <c r="F8" s="49"/>
      <c r="G8" s="49"/>
      <c r="H8" s="49"/>
      <c r="I8" s="49"/>
      <c r="L8" s="184"/>
      <c r="M8" s="184"/>
      <c r="N8" s="184"/>
      <c r="O8" s="184"/>
    </row>
    <row r="9" spans="1:15" s="7" customFormat="1" ht="13.8" x14ac:dyDescent="0.25">
      <c r="A9" s="119" t="s">
        <v>29</v>
      </c>
      <c r="B9" s="42"/>
      <c r="C9" s="42"/>
      <c r="D9" s="49"/>
      <c r="E9" s="49"/>
      <c r="F9" s="49"/>
      <c r="G9" s="49"/>
      <c r="H9" s="49"/>
      <c r="I9" s="49"/>
      <c r="L9" s="184"/>
      <c r="M9" s="184"/>
      <c r="N9" s="184"/>
      <c r="O9" s="184"/>
    </row>
    <row r="10" spans="1:15" s="7" customFormat="1" ht="13.8" x14ac:dyDescent="0.25">
      <c r="A10" s="42" t="s">
        <v>30</v>
      </c>
      <c r="B10" s="42"/>
      <c r="E10" s="42" t="e">
        <f>-#REF!</f>
        <v>#REF!</v>
      </c>
      <c r="F10" s="49"/>
      <c r="G10" s="49"/>
      <c r="H10" s="49"/>
      <c r="I10" s="49">
        <v>33756</v>
      </c>
      <c r="L10" s="184"/>
      <c r="M10" s="184"/>
      <c r="N10" s="184"/>
      <c r="O10" s="184"/>
    </row>
    <row r="11" spans="1:15" s="7" customFormat="1" ht="13.8" x14ac:dyDescent="0.25">
      <c r="A11" s="42"/>
      <c r="B11" s="42"/>
      <c r="C11" s="42"/>
      <c r="D11" s="49"/>
      <c r="E11" s="49"/>
      <c r="F11" s="49"/>
      <c r="G11" s="49"/>
      <c r="H11" s="49"/>
      <c r="I11" s="71"/>
      <c r="L11" s="184"/>
      <c r="M11" s="184"/>
      <c r="N11" s="184"/>
      <c r="O11" s="184"/>
    </row>
    <row r="12" spans="1:15" s="7" customFormat="1" ht="13.8" x14ac:dyDescent="0.25">
      <c r="A12" s="119" t="s">
        <v>31</v>
      </c>
      <c r="B12" s="42"/>
      <c r="C12" s="42"/>
      <c r="D12" s="49"/>
      <c r="E12" s="49"/>
      <c r="F12" s="49"/>
      <c r="G12" s="49"/>
      <c r="H12" s="49"/>
      <c r="I12" s="71"/>
      <c r="L12" s="184"/>
      <c r="M12" s="184"/>
      <c r="N12" s="184"/>
      <c r="O12" s="184"/>
    </row>
    <row r="13" spans="1:15" s="7" customFormat="1" ht="13.8" x14ac:dyDescent="0.25">
      <c r="A13" s="42" t="s">
        <v>255</v>
      </c>
      <c r="B13" s="42"/>
      <c r="C13" s="42" t="e">
        <f>#REF!-#REF!</f>
        <v>#REF!</v>
      </c>
      <c r="D13" s="49"/>
      <c r="E13" s="49"/>
      <c r="F13" s="49"/>
      <c r="G13" s="71">
        <v>187583</v>
      </c>
      <c r="H13" s="49"/>
      <c r="I13" s="71"/>
      <c r="L13" s="184"/>
      <c r="M13" s="184"/>
      <c r="N13" s="184"/>
      <c r="O13" s="184"/>
    </row>
    <row r="14" spans="1:15" s="7" customFormat="1" ht="13.8" x14ac:dyDescent="0.25">
      <c r="A14" s="42" t="s">
        <v>32</v>
      </c>
      <c r="B14" s="42"/>
      <c r="C14" s="42"/>
      <c r="D14" s="49"/>
      <c r="E14" s="49"/>
      <c r="F14" s="49"/>
      <c r="G14" s="49"/>
      <c r="H14" s="49"/>
      <c r="I14" s="49"/>
      <c r="L14" s="184"/>
      <c r="M14" s="184"/>
      <c r="N14" s="184"/>
      <c r="O14" s="184"/>
    </row>
    <row r="15" spans="1:15" s="7" customFormat="1" ht="13.8" x14ac:dyDescent="0.25">
      <c r="A15" s="42" t="s">
        <v>33</v>
      </c>
      <c r="B15" s="42"/>
      <c r="C15" s="42" t="e">
        <f>#REF!+#REF!+#REF!-#REF!-#REF!-#REF!</f>
        <v>#REF!</v>
      </c>
      <c r="D15" s="49"/>
      <c r="E15" s="49"/>
      <c r="F15" s="49"/>
      <c r="G15" s="49">
        <v>-51293</v>
      </c>
      <c r="H15" s="49"/>
      <c r="I15" s="49"/>
      <c r="L15" s="184"/>
      <c r="M15" s="184"/>
      <c r="N15" s="184"/>
      <c r="O15" s="184"/>
    </row>
    <row r="16" spans="1:15" s="7" customFormat="1" ht="13.8" x14ac:dyDescent="0.25">
      <c r="A16" s="42" t="s">
        <v>178</v>
      </c>
      <c r="B16" s="42"/>
      <c r="C16" s="97">
        <v>0</v>
      </c>
      <c r="D16" s="49"/>
      <c r="E16" s="49"/>
      <c r="F16" s="49"/>
      <c r="G16" s="97">
        <v>0</v>
      </c>
      <c r="H16" s="49"/>
      <c r="I16" s="49"/>
      <c r="L16" s="184"/>
      <c r="M16" s="184"/>
      <c r="N16" s="184"/>
      <c r="O16" s="184"/>
    </row>
    <row r="17" spans="1:15" s="7" customFormat="1" ht="13.8" x14ac:dyDescent="0.25">
      <c r="A17" s="42"/>
      <c r="B17" s="42"/>
      <c r="C17" s="42"/>
      <c r="D17" s="49"/>
      <c r="E17" s="30" t="e">
        <f>SUM(C13:C16)</f>
        <v>#REF!</v>
      </c>
      <c r="F17" s="49"/>
      <c r="G17" s="49"/>
      <c r="H17" s="49"/>
      <c r="I17" s="30">
        <f>SUM(G13:G16)+0.4</f>
        <v>136290.4</v>
      </c>
      <c r="L17" s="184"/>
      <c r="M17" s="184"/>
      <c r="N17" s="184"/>
      <c r="O17" s="184"/>
    </row>
    <row r="18" spans="1:15" s="7" customFormat="1" ht="13.8" x14ac:dyDescent="0.25">
      <c r="A18" s="72" t="s">
        <v>34</v>
      </c>
      <c r="B18" s="42"/>
      <c r="C18" s="42"/>
      <c r="D18" s="49"/>
      <c r="E18" s="49" t="e">
        <f>SUM(E7:E17)</f>
        <v>#REF!</v>
      </c>
      <c r="F18" s="49"/>
      <c r="G18" s="49"/>
      <c r="H18" s="49"/>
      <c r="I18" s="49">
        <f>SUM(I7:I17)</f>
        <v>111395.4</v>
      </c>
      <c r="L18" s="184"/>
      <c r="M18" s="184"/>
      <c r="N18" s="184"/>
      <c r="O18" s="184"/>
    </row>
    <row r="19" spans="1:15" s="7" customFormat="1" ht="13.8" x14ac:dyDescent="0.25">
      <c r="A19" s="72"/>
      <c r="B19" s="42"/>
      <c r="C19" s="42"/>
      <c r="D19" s="49"/>
      <c r="E19" s="49"/>
      <c r="F19" s="49"/>
      <c r="G19" s="49"/>
      <c r="H19" s="49"/>
      <c r="I19" s="49"/>
      <c r="L19" s="184"/>
      <c r="M19" s="184"/>
      <c r="N19" s="184"/>
      <c r="O19" s="184"/>
    </row>
    <row r="20" spans="1:15" s="7" customFormat="1" ht="13.8" x14ac:dyDescent="0.25">
      <c r="A20" s="42" t="s">
        <v>35</v>
      </c>
      <c r="B20" s="42"/>
      <c r="E20" s="52" t="e">
        <f>Toelichting_expl!#REF!</f>
        <v>#REF!</v>
      </c>
      <c r="F20" s="49"/>
      <c r="G20" s="49"/>
      <c r="H20" s="49"/>
      <c r="I20" s="30">
        <v>-2495</v>
      </c>
      <c r="L20" s="184"/>
      <c r="M20" s="184"/>
      <c r="N20" s="184"/>
      <c r="O20" s="184"/>
    </row>
    <row r="21" spans="1:15" s="7" customFormat="1" ht="13.8" x14ac:dyDescent="0.25">
      <c r="A21" s="42"/>
      <c r="B21" s="42"/>
      <c r="C21" s="42"/>
      <c r="D21" s="49"/>
      <c r="E21" s="49"/>
      <c r="F21" s="49"/>
      <c r="G21" s="49"/>
      <c r="H21" s="49"/>
      <c r="I21" s="49"/>
      <c r="L21" s="184"/>
      <c r="M21" s="184"/>
      <c r="N21" s="184"/>
      <c r="O21" s="184"/>
    </row>
    <row r="22" spans="1:15" s="7" customFormat="1" ht="13.8" x14ac:dyDescent="0.25">
      <c r="A22" s="72" t="s">
        <v>28</v>
      </c>
      <c r="B22" s="42"/>
      <c r="C22" s="42"/>
      <c r="D22" s="49"/>
      <c r="E22" s="30" t="e">
        <f>SUM(E18:E20)</f>
        <v>#REF!</v>
      </c>
      <c r="F22" s="49"/>
      <c r="G22" s="49"/>
      <c r="H22" s="49"/>
      <c r="I22" s="30">
        <f>SUM(I18:I20)</f>
        <v>108900.4</v>
      </c>
      <c r="L22" s="184"/>
      <c r="M22" s="184"/>
      <c r="N22" s="184"/>
      <c r="O22" s="184"/>
    </row>
    <row r="23" spans="1:15" s="7" customFormat="1" ht="13.8" x14ac:dyDescent="0.25">
      <c r="A23" s="42"/>
      <c r="B23" s="42"/>
      <c r="C23" s="42"/>
      <c r="D23" s="49"/>
      <c r="E23" s="49"/>
      <c r="F23" s="49"/>
      <c r="G23" s="49"/>
      <c r="H23" s="49"/>
      <c r="I23" s="49"/>
      <c r="L23" s="184"/>
      <c r="M23" s="184"/>
      <c r="N23" s="184"/>
      <c r="O23" s="184"/>
    </row>
    <row r="24" spans="1:15" s="7" customFormat="1" ht="13.8" x14ac:dyDescent="0.25">
      <c r="A24" s="72" t="s">
        <v>36</v>
      </c>
      <c r="B24" s="42"/>
      <c r="C24" s="42"/>
      <c r="D24" s="49"/>
      <c r="E24" s="49"/>
      <c r="F24" s="49"/>
      <c r="G24" s="49"/>
      <c r="H24" s="49"/>
      <c r="I24" s="49"/>
      <c r="L24" s="185"/>
      <c r="M24" s="185"/>
      <c r="N24" s="185"/>
      <c r="O24" s="184"/>
    </row>
    <row r="25" spans="1:15" s="7" customFormat="1" ht="13.8" x14ac:dyDescent="0.25">
      <c r="A25" s="42" t="s">
        <v>37</v>
      </c>
      <c r="B25" s="42"/>
      <c r="C25" s="52" t="e">
        <f>-#REF!</f>
        <v>#REF!</v>
      </c>
      <c r="D25" s="49"/>
      <c r="E25" s="49"/>
      <c r="F25" s="49"/>
      <c r="G25" s="30">
        <v>-45597</v>
      </c>
      <c r="H25" s="49"/>
      <c r="I25" s="49"/>
      <c r="L25" s="184"/>
      <c r="M25" s="184"/>
      <c r="N25" s="184"/>
      <c r="O25" s="184"/>
    </row>
    <row r="26" spans="1:15" s="7" customFormat="1" ht="13.8" x14ac:dyDescent="0.25">
      <c r="A26" s="42"/>
      <c r="B26" s="42"/>
      <c r="C26" s="142"/>
      <c r="D26" s="42"/>
      <c r="E26" s="42" t="e">
        <f>C25+C26</f>
        <v>#REF!</v>
      </c>
      <c r="F26" s="49"/>
      <c r="G26" s="49"/>
      <c r="H26" s="42"/>
      <c r="I26" s="42">
        <f>SUM(G25)</f>
        <v>-45597</v>
      </c>
    </row>
    <row r="27" spans="1:15" s="7" customFormat="1" ht="13.8" x14ac:dyDescent="0.25">
      <c r="A27" s="72" t="s">
        <v>36</v>
      </c>
      <c r="B27" s="42"/>
      <c r="C27" s="42"/>
      <c r="D27" s="42"/>
    </row>
    <row r="28" spans="1:15" s="7" customFormat="1" ht="14.4" thickBot="1" x14ac:dyDescent="0.3">
      <c r="A28" s="72" t="s">
        <v>38</v>
      </c>
      <c r="B28" s="42"/>
      <c r="C28" s="42"/>
      <c r="D28" s="42"/>
      <c r="E28" s="31" t="e">
        <f>E26+E22</f>
        <v>#REF!</v>
      </c>
      <c r="F28" s="49"/>
      <c r="G28" s="71"/>
      <c r="H28" s="49"/>
      <c r="I28" s="64">
        <f>SUM(I22:I27)+0.1</f>
        <v>63303.499999999993</v>
      </c>
    </row>
    <row r="29" spans="1:15" s="7" customFormat="1" ht="14.4" thickTop="1" x14ac:dyDescent="0.25">
      <c r="A29" s="42"/>
      <c r="B29" s="42"/>
      <c r="C29" s="42"/>
      <c r="D29" s="42"/>
      <c r="E29" s="49"/>
      <c r="F29" s="49"/>
      <c r="G29" s="49"/>
      <c r="H29" s="49"/>
      <c r="I29" s="49"/>
    </row>
    <row r="30" spans="1:15" s="7" customFormat="1" ht="13.8" x14ac:dyDescent="0.25">
      <c r="A30" s="42" t="s">
        <v>39</v>
      </c>
      <c r="B30" s="42"/>
      <c r="C30" s="42"/>
      <c r="D30" s="42"/>
      <c r="E30" s="49"/>
      <c r="F30" s="49"/>
      <c r="G30" s="49"/>
      <c r="H30" s="49"/>
      <c r="I30" s="49"/>
    </row>
    <row r="31" spans="1:15" s="7" customFormat="1" ht="13.8" x14ac:dyDescent="0.25">
      <c r="A31" s="72"/>
      <c r="B31" s="42"/>
      <c r="C31" s="42"/>
      <c r="D31" s="42"/>
      <c r="E31" s="74"/>
      <c r="F31" s="74"/>
      <c r="G31" s="74"/>
      <c r="H31" s="74"/>
      <c r="I31" s="74"/>
    </row>
    <row r="32" spans="1:15" s="7" customFormat="1" ht="13.8" x14ac:dyDescent="0.25">
      <c r="A32" s="42" t="s">
        <v>227</v>
      </c>
      <c r="B32" s="42"/>
      <c r="C32" s="42"/>
      <c r="D32" s="42"/>
      <c r="E32" s="49">
        <f>I34</f>
        <v>338740.5</v>
      </c>
      <c r="F32" s="49"/>
      <c r="G32" s="49"/>
      <c r="H32" s="49"/>
      <c r="I32" s="49">
        <v>275437</v>
      </c>
    </row>
    <row r="33" spans="1:9" s="7" customFormat="1" ht="13.8" x14ac:dyDescent="0.25">
      <c r="A33" s="42" t="s">
        <v>40</v>
      </c>
      <c r="B33" s="42"/>
      <c r="C33" s="42"/>
      <c r="D33" s="42"/>
      <c r="E33" s="71" t="e">
        <f>E28</f>
        <v>#REF!</v>
      </c>
      <c r="F33" s="73"/>
      <c r="G33" s="71"/>
      <c r="H33" s="71"/>
      <c r="I33" s="71">
        <f>I28</f>
        <v>63303.499999999993</v>
      </c>
    </row>
    <row r="34" spans="1:9" s="7" customFormat="1" ht="14.4" thickBot="1" x14ac:dyDescent="0.3">
      <c r="A34" s="42" t="s">
        <v>230</v>
      </c>
      <c r="B34" s="42"/>
      <c r="C34" s="42"/>
      <c r="D34" s="42"/>
      <c r="E34" s="31" t="e">
        <f>SUM(E32:E33)</f>
        <v>#REF!</v>
      </c>
      <c r="F34" s="49"/>
      <c r="G34" s="49"/>
      <c r="H34" s="49"/>
      <c r="I34" s="31">
        <f>SUM(I32:I33)</f>
        <v>338740.5</v>
      </c>
    </row>
    <row r="35" spans="1:9" s="7" customFormat="1" ht="14.4" thickTop="1" x14ac:dyDescent="0.25">
      <c r="A35" s="42"/>
      <c r="B35" s="42"/>
      <c r="C35" s="42"/>
      <c r="D35" s="42"/>
      <c r="E35" s="49"/>
      <c r="F35" s="49"/>
      <c r="G35" s="49"/>
      <c r="H35" s="49"/>
      <c r="I35" s="49"/>
    </row>
    <row r="36" spans="1:9" s="7" customFormat="1" ht="13.8" x14ac:dyDescent="0.25">
      <c r="A36" s="42"/>
      <c r="B36" s="42"/>
      <c r="C36" s="42"/>
      <c r="D36" s="42"/>
      <c r="E36" s="49"/>
      <c r="F36" s="49"/>
      <c r="G36" s="49"/>
      <c r="H36" s="49"/>
      <c r="I36" s="49"/>
    </row>
    <row r="37" spans="1:9" s="7" customFormat="1" ht="13.8" x14ac:dyDescent="0.25">
      <c r="A37" s="42"/>
      <c r="B37" s="42"/>
      <c r="C37" s="42"/>
      <c r="D37" s="42"/>
      <c r="E37" s="49"/>
      <c r="F37" s="49"/>
      <c r="G37" s="49"/>
      <c r="H37" s="49"/>
      <c r="I37" s="49"/>
    </row>
    <row r="38" spans="1:9" s="7" customFormat="1" ht="13.8" x14ac:dyDescent="0.25">
      <c r="A38" s="42"/>
      <c r="B38" s="42"/>
      <c r="C38" s="42"/>
      <c r="D38" s="42"/>
      <c r="E38" s="49"/>
      <c r="F38" s="49"/>
      <c r="G38" s="49"/>
      <c r="H38" s="49"/>
      <c r="I38" s="49"/>
    </row>
    <row r="39" spans="1:9" s="7" customFormat="1" ht="13.8" x14ac:dyDescent="0.25">
      <c r="A39" s="42"/>
      <c r="B39" s="42"/>
      <c r="C39" s="42"/>
      <c r="D39" s="42"/>
      <c r="E39" s="49"/>
      <c r="F39" s="49"/>
      <c r="G39" s="49"/>
      <c r="H39" s="49"/>
      <c r="I39" s="49"/>
    </row>
    <row r="40" spans="1:9" s="7" customFormat="1" ht="13.8" x14ac:dyDescent="0.25">
      <c r="A40" s="42"/>
      <c r="B40" s="42"/>
      <c r="C40" s="42"/>
      <c r="D40" s="42"/>
      <c r="E40" s="49"/>
      <c r="F40" s="49"/>
      <c r="G40" s="49"/>
      <c r="H40" s="49"/>
      <c r="I40" s="49"/>
    </row>
    <row r="41" spans="1:9" s="7" customFormat="1" ht="13.8" x14ac:dyDescent="0.25">
      <c r="A41" s="72"/>
      <c r="B41" s="42"/>
      <c r="C41" s="42"/>
      <c r="D41" s="42"/>
      <c r="E41" s="49"/>
      <c r="F41" s="49"/>
      <c r="G41" s="49"/>
      <c r="H41" s="49"/>
      <c r="I41" s="49"/>
    </row>
    <row r="42" spans="1:9" s="7" customFormat="1" ht="13.8" x14ac:dyDescent="0.25">
      <c r="A42" s="72"/>
      <c r="B42" s="42"/>
      <c r="C42" s="42"/>
      <c r="D42" s="42"/>
      <c r="E42" s="49"/>
      <c r="F42" s="49"/>
      <c r="G42" s="49"/>
      <c r="H42" s="49"/>
      <c r="I42" s="49"/>
    </row>
    <row r="43" spans="1:9" s="7" customFormat="1" ht="13.8" x14ac:dyDescent="0.25">
      <c r="A43" s="72"/>
      <c r="B43" s="42"/>
      <c r="C43" s="42"/>
      <c r="D43" s="42"/>
      <c r="E43" s="74"/>
      <c r="F43" s="74"/>
      <c r="G43" s="74"/>
      <c r="H43" s="74"/>
      <c r="I43" s="74"/>
    </row>
    <row r="44" spans="1:9" s="7" customFormat="1" ht="13.8" x14ac:dyDescent="0.25">
      <c r="A44" s="72"/>
      <c r="B44" s="42"/>
      <c r="C44" s="42"/>
      <c r="D44" s="42"/>
      <c r="E44" s="49"/>
      <c r="F44" s="49"/>
      <c r="G44" s="49"/>
      <c r="H44" s="49"/>
      <c r="I44" s="49"/>
    </row>
    <row r="45" spans="1:9" s="7" customFormat="1" ht="13.8" x14ac:dyDescent="0.25">
      <c r="A45" s="68"/>
      <c r="B45" s="59"/>
      <c r="C45" s="59"/>
      <c r="D45" s="59"/>
      <c r="E45" s="67"/>
      <c r="F45" s="67"/>
      <c r="G45" s="67"/>
      <c r="H45" s="67"/>
      <c r="I45" s="67"/>
    </row>
    <row r="46" spans="1:9" s="7" customFormat="1" ht="13.8" x14ac:dyDescent="0.25">
      <c r="A46" s="59"/>
      <c r="B46" s="59"/>
      <c r="C46" s="59"/>
      <c r="D46" s="59"/>
      <c r="E46" s="67"/>
      <c r="F46" s="67"/>
      <c r="G46" s="67"/>
      <c r="H46" s="67"/>
      <c r="I46" s="67"/>
    </row>
    <row r="47" spans="1:9" s="7" customFormat="1" ht="13.8" x14ac:dyDescent="0.25">
      <c r="A47" s="59"/>
      <c r="B47" s="59"/>
      <c r="C47" s="59"/>
      <c r="D47" s="59"/>
      <c r="E47" s="67"/>
      <c r="F47" s="67"/>
      <c r="G47" s="67"/>
      <c r="H47" s="67"/>
      <c r="I47" s="67"/>
    </row>
    <row r="48" spans="1:9" s="7" customFormat="1" ht="13.8" x14ac:dyDescent="0.25">
      <c r="A48" s="68"/>
      <c r="B48" s="59"/>
      <c r="C48" s="59"/>
      <c r="D48" s="59"/>
      <c r="E48" s="67"/>
      <c r="F48" s="67"/>
      <c r="G48" s="67"/>
      <c r="H48" s="67"/>
      <c r="I48" s="67"/>
    </row>
    <row r="49" spans="1:9" s="7" customFormat="1" ht="13.8" x14ac:dyDescent="0.25">
      <c r="A49" s="68"/>
      <c r="B49" s="59"/>
      <c r="C49" s="59"/>
      <c r="D49" s="59"/>
      <c r="E49" s="67"/>
      <c r="F49" s="67"/>
      <c r="G49" s="67"/>
      <c r="H49" s="67"/>
      <c r="I49" s="67"/>
    </row>
    <row r="50" spans="1:9" s="7" customFormat="1" ht="13.8" x14ac:dyDescent="0.25">
      <c r="A50" s="68"/>
      <c r="B50" s="59"/>
      <c r="C50" s="59"/>
      <c r="D50" s="59"/>
      <c r="E50" s="67"/>
      <c r="F50" s="67"/>
      <c r="G50" s="67"/>
      <c r="H50" s="67"/>
      <c r="I50" s="67"/>
    </row>
    <row r="51" spans="1:9" s="7" customFormat="1" ht="13.8" x14ac:dyDescent="0.25">
      <c r="A51" s="59"/>
      <c r="B51" s="59"/>
      <c r="C51" s="59"/>
      <c r="D51" s="59"/>
      <c r="E51" s="67"/>
      <c r="F51" s="67"/>
      <c r="G51" s="67"/>
      <c r="H51" s="67"/>
      <c r="I51" s="67"/>
    </row>
    <row r="52" spans="1:9" s="7" customFormat="1" ht="13.8" x14ac:dyDescent="0.25">
      <c r="A52" s="68"/>
      <c r="B52" s="59"/>
      <c r="C52" s="59"/>
      <c r="D52" s="59"/>
      <c r="E52" s="120"/>
      <c r="F52" s="120"/>
      <c r="G52" s="120"/>
      <c r="H52" s="120"/>
      <c r="I52" s="120"/>
    </row>
    <row r="53" spans="1:9" s="7" customFormat="1" ht="13.8" x14ac:dyDescent="0.25">
      <c r="A53" s="59"/>
      <c r="B53" s="59"/>
      <c r="C53" s="59"/>
      <c r="D53" s="59"/>
      <c r="E53" s="67"/>
      <c r="F53" s="67"/>
      <c r="G53" s="67"/>
      <c r="H53" s="67"/>
      <c r="I53" s="67"/>
    </row>
    <row r="54" spans="1:9" s="7" customFormat="1" ht="13.8" x14ac:dyDescent="0.25">
      <c r="G54" s="147"/>
      <c r="I54" s="12"/>
    </row>
    <row r="55" spans="1:9" s="7" customFormat="1" ht="13.8" x14ac:dyDescent="0.25">
      <c r="I55" s="12"/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9">
    <tabColor indexed="13"/>
  </sheetPr>
  <dimension ref="A1:K84"/>
  <sheetViews>
    <sheetView view="pageBreakPreview" zoomScaleNormal="100" zoomScaleSheetLayoutView="100" workbookViewId="0">
      <selection activeCell="A9" sqref="A9"/>
    </sheetView>
  </sheetViews>
  <sheetFormatPr defaultColWidth="8.8984375" defaultRowHeight="15" x14ac:dyDescent="0.25"/>
  <cols>
    <col min="1" max="1" width="16.09765625" style="4" customWidth="1"/>
    <col min="2" max="2" width="16.3984375" style="4" customWidth="1"/>
    <col min="3" max="3" width="9.59765625" style="4" customWidth="1"/>
    <col min="4" max="4" width="1.59765625" style="4" customWidth="1"/>
    <col min="5" max="5" width="9.59765625" style="4" customWidth="1"/>
    <col min="6" max="6" width="1.59765625" style="4" customWidth="1"/>
    <col min="7" max="7" width="9.5" style="4" customWidth="1"/>
    <col min="8" max="8" width="1.59765625" style="4" customWidth="1"/>
    <col min="9" max="9" width="9.59765625" style="4" customWidth="1"/>
    <col min="10" max="16384" width="8.8984375" style="4"/>
  </cols>
  <sheetData>
    <row r="1" spans="1:9" ht="22.8" x14ac:dyDescent="0.4">
      <c r="A1" s="121" t="s">
        <v>41</v>
      </c>
      <c r="B1" s="29"/>
      <c r="C1" s="13"/>
      <c r="D1" s="13"/>
      <c r="E1" s="13"/>
      <c r="F1" s="13"/>
      <c r="G1" s="13"/>
    </row>
    <row r="2" spans="1:9" ht="22.8" x14ac:dyDescent="0.4">
      <c r="A2" s="121"/>
      <c r="B2" s="29"/>
      <c r="C2" s="13"/>
      <c r="D2" s="13"/>
      <c r="E2" s="13"/>
      <c r="F2" s="13"/>
      <c r="G2" s="13"/>
    </row>
    <row r="3" spans="1:9" ht="16.8" x14ac:dyDescent="0.3">
      <c r="A3" s="122" t="s">
        <v>42</v>
      </c>
      <c r="B3" s="29"/>
      <c r="C3" s="123"/>
      <c r="D3" s="123"/>
      <c r="E3" s="123"/>
      <c r="F3" s="123"/>
      <c r="G3" s="123"/>
    </row>
    <row r="4" spans="1:9" s="7" customFormat="1" ht="13.8" x14ac:dyDescent="0.25">
      <c r="A4" s="124" t="s">
        <v>43</v>
      </c>
      <c r="B4" s="125"/>
      <c r="C4" s="125"/>
      <c r="D4" s="125"/>
      <c r="E4" s="125"/>
      <c r="F4" s="125"/>
      <c r="G4" s="12"/>
    </row>
    <row r="5" spans="1:9" s="7" customFormat="1" ht="13.8" x14ac:dyDescent="0.25">
      <c r="A5" s="126" t="s">
        <v>44</v>
      </c>
      <c r="B5" s="125"/>
      <c r="C5" s="125"/>
      <c r="D5" s="125"/>
      <c r="E5" s="125"/>
      <c r="F5" s="125"/>
      <c r="G5" s="12"/>
    </row>
    <row r="6" spans="1:9" ht="11.25" customHeight="1" x14ac:dyDescent="0.25">
      <c r="A6" s="79"/>
      <c r="B6" s="29"/>
      <c r="C6" s="123"/>
      <c r="D6" s="123"/>
      <c r="E6" s="123"/>
      <c r="F6" s="123"/>
      <c r="G6" s="123"/>
    </row>
    <row r="7" spans="1:9" ht="16.2" x14ac:dyDescent="0.35">
      <c r="A7" s="127" t="s">
        <v>45</v>
      </c>
      <c r="B7" s="29"/>
      <c r="C7" s="123"/>
      <c r="D7" s="123"/>
      <c r="E7" s="123"/>
      <c r="F7" s="123"/>
      <c r="G7" s="123"/>
    </row>
    <row r="8" spans="1:9" x14ac:dyDescent="0.25">
      <c r="A8" s="29" t="s">
        <v>509</v>
      </c>
      <c r="B8" s="29"/>
      <c r="C8" s="123"/>
      <c r="D8" s="123"/>
      <c r="E8" s="123"/>
      <c r="F8" s="123"/>
      <c r="G8" s="123"/>
    </row>
    <row r="9" spans="1:9" x14ac:dyDescent="0.25">
      <c r="A9" s="16" t="s">
        <v>46</v>
      </c>
      <c r="B9" s="29"/>
      <c r="C9" s="123"/>
      <c r="D9" s="123"/>
      <c r="E9" s="123"/>
      <c r="F9" s="123"/>
      <c r="G9" s="123"/>
    </row>
    <row r="10" spans="1:9" ht="18" customHeight="1" x14ac:dyDescent="0.25">
      <c r="A10" s="79"/>
      <c r="B10" s="29"/>
      <c r="C10" s="123"/>
      <c r="D10" s="123"/>
      <c r="E10" s="123"/>
      <c r="F10" s="123"/>
      <c r="G10" s="123"/>
    </row>
    <row r="11" spans="1:9" ht="16.8" x14ac:dyDescent="0.3">
      <c r="A11" s="128" t="s">
        <v>47</v>
      </c>
      <c r="B11" s="29"/>
      <c r="C11" s="123"/>
      <c r="D11" s="123"/>
      <c r="E11" s="123"/>
      <c r="F11" s="123"/>
      <c r="G11" s="123"/>
    </row>
    <row r="12" spans="1:9" ht="11.25" customHeight="1" x14ac:dyDescent="0.25">
      <c r="A12" s="79"/>
      <c r="B12" s="29"/>
      <c r="C12" s="123"/>
      <c r="D12" s="123"/>
      <c r="E12" s="123"/>
      <c r="F12" s="123"/>
      <c r="G12" s="123"/>
    </row>
    <row r="13" spans="1:9" ht="16.2" x14ac:dyDescent="0.35">
      <c r="A13" s="127" t="s">
        <v>42</v>
      </c>
      <c r="B13" s="29"/>
      <c r="C13" s="123"/>
      <c r="D13" s="123"/>
      <c r="E13" s="123"/>
      <c r="F13" s="123"/>
      <c r="G13" s="123"/>
    </row>
    <row r="14" spans="1:9" x14ac:dyDescent="0.25">
      <c r="A14" s="395" t="s">
        <v>365</v>
      </c>
      <c r="B14" s="396"/>
      <c r="C14" s="396"/>
      <c r="D14" s="396"/>
      <c r="E14" s="396"/>
      <c r="F14" s="396"/>
      <c r="G14" s="396"/>
      <c r="H14" s="396"/>
      <c r="I14" s="396"/>
    </row>
    <row r="15" spans="1:9" x14ac:dyDescent="0.25">
      <c r="A15" s="396"/>
      <c r="B15" s="396"/>
      <c r="C15" s="396"/>
      <c r="D15" s="396"/>
      <c r="E15" s="396"/>
      <c r="F15" s="396"/>
      <c r="G15" s="396"/>
      <c r="H15" s="396"/>
      <c r="I15" s="396"/>
    </row>
    <row r="16" spans="1:9" x14ac:dyDescent="0.25">
      <c r="A16" s="29" t="s">
        <v>72</v>
      </c>
      <c r="B16" s="29"/>
      <c r="C16" s="123"/>
      <c r="D16" s="123"/>
      <c r="E16" s="123"/>
      <c r="F16" s="123"/>
      <c r="G16" s="123"/>
    </row>
    <row r="17" spans="1:10" ht="11.25" customHeight="1" x14ac:dyDescent="0.35">
      <c r="A17" s="127"/>
      <c r="B17" s="29"/>
      <c r="C17" s="123"/>
      <c r="D17" s="123"/>
      <c r="E17" s="123"/>
      <c r="F17" s="123"/>
      <c r="G17" s="123"/>
    </row>
    <row r="18" spans="1:10" ht="16.2" x14ac:dyDescent="0.35">
      <c r="A18" s="127" t="s">
        <v>265</v>
      </c>
      <c r="B18" s="29"/>
      <c r="C18" s="123"/>
      <c r="D18" s="123"/>
      <c r="E18" s="123"/>
      <c r="F18" s="123"/>
      <c r="G18" s="123"/>
    </row>
    <row r="19" spans="1:10" x14ac:dyDescent="0.25">
      <c r="A19" s="395" t="s">
        <v>366</v>
      </c>
      <c r="B19" s="396"/>
      <c r="C19" s="396"/>
      <c r="D19" s="396"/>
      <c r="E19" s="396"/>
      <c r="F19" s="396"/>
      <c r="G19" s="396"/>
      <c r="H19" s="396"/>
      <c r="I19" s="396"/>
    </row>
    <row r="20" spans="1:10" x14ac:dyDescent="0.25">
      <c r="A20" s="396"/>
      <c r="B20" s="396"/>
      <c r="C20" s="396"/>
      <c r="D20" s="396"/>
      <c r="E20" s="396"/>
      <c r="F20" s="396"/>
      <c r="G20" s="396"/>
      <c r="H20" s="396"/>
      <c r="I20" s="396"/>
    </row>
    <row r="21" spans="1:10" x14ac:dyDescent="0.25">
      <c r="A21" s="396"/>
      <c r="B21" s="396"/>
      <c r="C21" s="396"/>
      <c r="D21" s="396"/>
      <c r="E21" s="396"/>
      <c r="F21" s="396"/>
      <c r="G21" s="396"/>
      <c r="H21" s="396"/>
      <c r="I21" s="396"/>
    </row>
    <row r="22" spans="1:10" ht="11.25" customHeight="1" x14ac:dyDescent="0.3">
      <c r="A22" s="16"/>
      <c r="B22"/>
      <c r="C22" s="16"/>
      <c r="D22" s="123"/>
      <c r="E22" s="123"/>
      <c r="F22" s="123"/>
      <c r="G22" s="123"/>
    </row>
    <row r="23" spans="1:10" s="17" customFormat="1" ht="14.4" x14ac:dyDescent="0.3">
      <c r="A23" s="26" t="s">
        <v>178</v>
      </c>
      <c r="B23" s="16"/>
      <c r="C23" s="16"/>
      <c r="D23" s="29"/>
      <c r="E23" s="29"/>
      <c r="F23" s="29"/>
      <c r="G23" s="29"/>
    </row>
    <row r="24" spans="1:10" s="17" customFormat="1" ht="13.8" x14ac:dyDescent="0.25">
      <c r="A24" s="16" t="s">
        <v>379</v>
      </c>
      <c r="B24" s="16"/>
      <c r="C24" s="16"/>
      <c r="D24" s="29"/>
      <c r="E24" s="29"/>
      <c r="F24" s="29"/>
      <c r="G24" s="29"/>
    </row>
    <row r="25" spans="1:10" s="17" customFormat="1" ht="13.8" x14ac:dyDescent="0.25">
      <c r="A25" s="136" t="s">
        <v>380</v>
      </c>
      <c r="B25" s="16"/>
      <c r="C25" s="16"/>
      <c r="D25" s="29"/>
      <c r="E25" s="29"/>
      <c r="F25" s="29"/>
      <c r="G25" s="29"/>
    </row>
    <row r="26" spans="1:10" s="17" customFormat="1" ht="13.8" x14ac:dyDescent="0.25">
      <c r="A26" s="16" t="s">
        <v>48</v>
      </c>
      <c r="B26" s="16"/>
      <c r="C26" s="16"/>
      <c r="D26" s="29"/>
      <c r="E26" s="29"/>
      <c r="F26" s="29"/>
      <c r="G26" s="29"/>
    </row>
    <row r="27" spans="1:10" s="17" customFormat="1" ht="13.8" x14ac:dyDescent="0.25">
      <c r="A27" s="16" t="s">
        <v>49</v>
      </c>
      <c r="B27" s="16"/>
      <c r="C27" s="16"/>
      <c r="D27" s="29"/>
      <c r="E27" s="29"/>
      <c r="F27" s="29"/>
      <c r="G27" s="29"/>
    </row>
    <row r="28" spans="1:10" ht="11.25" customHeight="1" x14ac:dyDescent="0.3">
      <c r="A28" s="16"/>
      <c r="B28"/>
      <c r="C28" s="16"/>
      <c r="D28" s="123"/>
      <c r="E28" s="123"/>
      <c r="F28" s="123"/>
      <c r="G28" s="123"/>
    </row>
    <row r="29" spans="1:10" ht="16.2" x14ac:dyDescent="0.35">
      <c r="A29" s="127" t="s">
        <v>255</v>
      </c>
      <c r="B29"/>
      <c r="C29" s="16"/>
      <c r="D29" s="123"/>
      <c r="E29" s="123"/>
      <c r="F29" s="123"/>
      <c r="G29" s="123"/>
    </row>
    <row r="30" spans="1:10" x14ac:dyDescent="0.25">
      <c r="A30" s="16" t="s">
        <v>468</v>
      </c>
      <c r="B30" s="16"/>
      <c r="C30" s="16"/>
      <c r="D30" s="12"/>
      <c r="E30" s="12"/>
      <c r="F30" s="12"/>
      <c r="G30" s="12"/>
      <c r="H30" s="7"/>
      <c r="I30" s="7"/>
      <c r="J30" s="7"/>
    </row>
    <row r="31" spans="1:10" x14ac:dyDescent="0.25">
      <c r="A31" s="16" t="s">
        <v>469</v>
      </c>
      <c r="B31" s="16"/>
      <c r="C31" s="16"/>
      <c r="D31" s="12"/>
      <c r="E31" s="12"/>
      <c r="F31" s="12"/>
      <c r="G31" s="12"/>
      <c r="H31" s="7"/>
      <c r="I31" s="7"/>
      <c r="J31" s="7"/>
    </row>
    <row r="32" spans="1:10" x14ac:dyDescent="0.25">
      <c r="A32" s="16" t="s">
        <v>470</v>
      </c>
      <c r="B32" s="16"/>
      <c r="C32" s="16"/>
      <c r="D32" s="12"/>
      <c r="E32" s="12"/>
      <c r="F32" s="12"/>
      <c r="G32" s="12"/>
      <c r="H32" s="7"/>
      <c r="I32" s="7"/>
      <c r="J32" s="7"/>
    </row>
    <row r="33" spans="1:10" x14ac:dyDescent="0.25">
      <c r="A33" s="16" t="s">
        <v>471</v>
      </c>
      <c r="B33" s="16"/>
      <c r="C33" s="16"/>
      <c r="D33" s="12"/>
      <c r="E33" s="12"/>
      <c r="F33" s="12"/>
      <c r="G33" s="12"/>
      <c r="H33" s="7"/>
      <c r="I33" s="7"/>
      <c r="J33" s="7"/>
    </row>
    <row r="34" spans="1:10" ht="11.25" customHeight="1" x14ac:dyDescent="0.25">
      <c r="A34" s="79"/>
      <c r="B34" s="29"/>
      <c r="C34" s="12"/>
      <c r="D34" s="12"/>
      <c r="E34" s="12"/>
      <c r="F34" s="12"/>
      <c r="G34" s="12"/>
      <c r="H34" s="7"/>
      <c r="I34" s="7"/>
      <c r="J34" s="7"/>
    </row>
    <row r="35" spans="1:10" ht="16.2" x14ac:dyDescent="0.35">
      <c r="A35" s="127" t="s">
        <v>412</v>
      </c>
      <c r="B35" s="29"/>
      <c r="C35" s="123"/>
      <c r="D35" s="123"/>
      <c r="E35" s="123"/>
      <c r="F35" s="123"/>
      <c r="G35" s="123"/>
    </row>
    <row r="36" spans="1:10" x14ac:dyDescent="0.25">
      <c r="A36" s="194" t="s">
        <v>413</v>
      </c>
      <c r="B36" s="29"/>
      <c r="C36" s="29"/>
      <c r="D36" s="29"/>
      <c r="E36" s="29"/>
      <c r="F36" s="29"/>
      <c r="G36" s="29"/>
      <c r="H36" s="17"/>
      <c r="I36" s="17"/>
    </row>
    <row r="37" spans="1:10" x14ac:dyDescent="0.25">
      <c r="A37" s="29" t="s">
        <v>414</v>
      </c>
      <c r="B37" s="29"/>
      <c r="C37" s="29"/>
      <c r="D37" s="29"/>
      <c r="E37" s="29"/>
      <c r="F37" s="29"/>
      <c r="G37" s="29"/>
      <c r="H37" s="17"/>
      <c r="I37" s="17"/>
    </row>
    <row r="38" spans="1:10" x14ac:dyDescent="0.25">
      <c r="A38" s="29" t="s">
        <v>411</v>
      </c>
      <c r="B38" s="29"/>
      <c r="C38" s="29"/>
      <c r="D38" s="29"/>
      <c r="E38" s="29"/>
      <c r="F38" s="29"/>
      <c r="G38" s="29"/>
      <c r="H38" s="17"/>
      <c r="I38" s="17"/>
    </row>
    <row r="39" spans="1:10" ht="11.25" customHeight="1" x14ac:dyDescent="0.25">
      <c r="A39" s="79"/>
      <c r="B39" s="29"/>
      <c r="C39" s="29"/>
      <c r="D39" s="29"/>
      <c r="E39" s="29"/>
      <c r="F39" s="29"/>
      <c r="G39" s="29"/>
      <c r="H39" s="17"/>
      <c r="I39" s="17"/>
    </row>
    <row r="40" spans="1:10" ht="11.25" customHeight="1" x14ac:dyDescent="0.25">
      <c r="A40" s="79"/>
      <c r="B40" s="29"/>
      <c r="C40" s="123"/>
      <c r="D40" s="123"/>
      <c r="E40" s="123"/>
      <c r="F40" s="123"/>
      <c r="G40" s="123"/>
    </row>
    <row r="41" spans="1:10" ht="11.25" customHeight="1" x14ac:dyDescent="0.25">
      <c r="A41" s="79"/>
      <c r="B41" s="29"/>
      <c r="C41" s="123"/>
      <c r="D41" s="123"/>
      <c r="E41" s="123"/>
      <c r="F41" s="123"/>
      <c r="G41" s="123"/>
    </row>
    <row r="42" spans="1:10" ht="16.8" x14ac:dyDescent="0.3">
      <c r="A42" s="128" t="s">
        <v>50</v>
      </c>
      <c r="B42" s="29"/>
      <c r="C42" s="123"/>
      <c r="D42" s="123"/>
      <c r="E42" s="123"/>
      <c r="F42" s="123"/>
      <c r="G42" s="123"/>
    </row>
    <row r="43" spans="1:10" ht="11.25" customHeight="1" x14ac:dyDescent="0.3">
      <c r="A43" s="128"/>
      <c r="B43" s="29"/>
      <c r="C43" s="123"/>
      <c r="D43" s="123"/>
      <c r="E43" s="123"/>
      <c r="F43" s="123"/>
      <c r="G43" s="123"/>
    </row>
    <row r="44" spans="1:10" ht="16.2" x14ac:dyDescent="0.35">
      <c r="A44" s="127" t="s">
        <v>42</v>
      </c>
      <c r="B44" s="29"/>
      <c r="C44" s="123"/>
      <c r="D44" s="123"/>
      <c r="E44" s="123"/>
      <c r="F44" s="123"/>
      <c r="G44" s="123"/>
    </row>
    <row r="45" spans="1:10" s="129" customFormat="1" ht="13.8" x14ac:dyDescent="0.25">
      <c r="A45" s="16" t="s">
        <v>13</v>
      </c>
      <c r="B45" s="29"/>
      <c r="C45" s="123"/>
      <c r="D45" s="123"/>
      <c r="E45" s="123"/>
      <c r="F45" s="123"/>
      <c r="G45" s="123"/>
    </row>
    <row r="46" spans="1:10" s="129" customFormat="1" ht="13.8" x14ac:dyDescent="0.25">
      <c r="A46" s="16" t="s">
        <v>14</v>
      </c>
      <c r="B46" s="29"/>
      <c r="C46" s="123"/>
      <c r="D46" s="123"/>
      <c r="E46" s="123"/>
      <c r="F46" s="123"/>
      <c r="G46" s="123"/>
    </row>
    <row r="47" spans="1:10" s="129" customFormat="1" ht="11.25" customHeight="1" x14ac:dyDescent="0.25">
      <c r="A47" s="16"/>
      <c r="B47" s="29"/>
      <c r="C47" s="123"/>
      <c r="D47" s="123"/>
      <c r="E47" s="123"/>
      <c r="F47" s="123"/>
      <c r="G47" s="123"/>
    </row>
    <row r="48" spans="1:10" s="129" customFormat="1" ht="13.8" x14ac:dyDescent="0.25">
      <c r="A48" s="16" t="s">
        <v>15</v>
      </c>
      <c r="B48" s="29"/>
      <c r="C48" s="123"/>
      <c r="D48" s="123"/>
      <c r="E48" s="123"/>
      <c r="F48" s="123"/>
      <c r="G48" s="123"/>
    </row>
    <row r="49" spans="1:11" s="129" customFormat="1" ht="13.8" x14ac:dyDescent="0.25">
      <c r="A49" s="16" t="s">
        <v>381</v>
      </c>
      <c r="B49" s="29"/>
      <c r="C49" s="123"/>
      <c r="D49" s="123"/>
      <c r="E49" s="123"/>
      <c r="F49" s="123"/>
      <c r="G49" s="123"/>
    </row>
    <row r="50" spans="1:11" s="129" customFormat="1" ht="13.8" x14ac:dyDescent="0.25">
      <c r="A50" s="16" t="s">
        <v>382</v>
      </c>
      <c r="B50" s="29"/>
      <c r="C50" s="123"/>
      <c r="D50" s="123"/>
      <c r="E50" s="123"/>
      <c r="F50" s="123"/>
      <c r="G50" s="123"/>
    </row>
    <row r="51" spans="1:11" s="129" customFormat="1" ht="11.25" customHeight="1" x14ac:dyDescent="0.25">
      <c r="A51" s="16"/>
      <c r="B51" s="29"/>
      <c r="C51" s="123"/>
      <c r="D51" s="123"/>
      <c r="E51" s="123"/>
      <c r="F51" s="123"/>
      <c r="G51" s="123"/>
    </row>
    <row r="52" spans="1:11" s="129" customFormat="1" ht="16.2" x14ac:dyDescent="0.35">
      <c r="A52" s="127" t="s">
        <v>277</v>
      </c>
      <c r="B52" s="29"/>
      <c r="C52" s="123"/>
      <c r="D52" s="123"/>
      <c r="E52" s="123"/>
      <c r="F52" s="123"/>
      <c r="G52" s="123"/>
    </row>
    <row r="53" spans="1:11" s="129" customFormat="1" ht="13.8" x14ac:dyDescent="0.25">
      <c r="A53" s="16" t="s">
        <v>16</v>
      </c>
      <c r="B53" s="29"/>
      <c r="C53" s="123"/>
      <c r="D53" s="123"/>
      <c r="E53" s="123"/>
      <c r="F53" s="123"/>
      <c r="G53" s="123"/>
    </row>
    <row r="54" spans="1:11" s="7" customFormat="1" ht="11.25" customHeight="1" x14ac:dyDescent="0.25">
      <c r="A54" s="29"/>
      <c r="B54" s="29"/>
      <c r="C54" s="123"/>
      <c r="D54" s="123"/>
      <c r="E54" s="123"/>
      <c r="F54" s="123"/>
      <c r="G54" s="123"/>
    </row>
    <row r="55" spans="1:11" s="7" customFormat="1" ht="16.8" x14ac:dyDescent="0.3">
      <c r="A55" s="128" t="s">
        <v>17</v>
      </c>
      <c r="B55" s="29"/>
      <c r="C55" s="123"/>
      <c r="D55" s="123"/>
      <c r="E55" s="123"/>
      <c r="F55" s="123"/>
      <c r="G55" s="123"/>
    </row>
    <row r="56" spans="1:11" s="7" customFormat="1" ht="11.25" customHeight="1" x14ac:dyDescent="0.25">
      <c r="A56" s="29"/>
      <c r="B56" s="29"/>
      <c r="C56" s="123"/>
      <c r="D56" s="123"/>
      <c r="E56" s="123"/>
      <c r="F56" s="123"/>
      <c r="G56" s="123"/>
    </row>
    <row r="57" spans="1:11" s="7" customFormat="1" ht="13.8" x14ac:dyDescent="0.25">
      <c r="A57" s="16" t="s">
        <v>18</v>
      </c>
      <c r="B57" s="29"/>
      <c r="C57" s="123"/>
      <c r="D57" s="123"/>
      <c r="E57" s="123"/>
      <c r="F57" s="123"/>
      <c r="G57" s="123"/>
    </row>
    <row r="58" spans="1:11" s="7" customFormat="1" ht="13.8" x14ac:dyDescent="0.25">
      <c r="A58" s="16" t="s">
        <v>416</v>
      </c>
      <c r="B58" s="29"/>
      <c r="C58" s="123"/>
      <c r="D58" s="123"/>
      <c r="E58" s="123"/>
      <c r="F58" s="123"/>
      <c r="G58" s="123"/>
    </row>
    <row r="59" spans="1:11" s="129" customFormat="1" ht="13.8" x14ac:dyDescent="0.25">
      <c r="A59" s="16" t="s">
        <v>415</v>
      </c>
      <c r="B59" s="29"/>
      <c r="C59" s="123"/>
      <c r="D59" s="123"/>
      <c r="E59" s="123"/>
      <c r="F59" s="123"/>
      <c r="G59" s="123"/>
    </row>
    <row r="60" spans="1:11" s="7" customFormat="1" ht="13.8" x14ac:dyDescent="0.25">
      <c r="A60" s="16" t="s">
        <v>19</v>
      </c>
      <c r="B60" s="29"/>
      <c r="C60" s="123"/>
      <c r="D60" s="123"/>
      <c r="E60" s="123"/>
      <c r="F60" s="123"/>
      <c r="G60" s="146"/>
    </row>
    <row r="61" spans="1:11" s="7" customFormat="1" ht="13.8" x14ac:dyDescent="0.25">
      <c r="A61" s="29"/>
      <c r="B61" s="29"/>
      <c r="C61" s="123"/>
      <c r="D61" s="130"/>
      <c r="E61" s="130"/>
      <c r="F61" s="123"/>
      <c r="G61" s="123"/>
    </row>
    <row r="62" spans="1:11" s="7" customFormat="1" ht="16.8" x14ac:dyDescent="0.3">
      <c r="A62" s="128" t="s">
        <v>472</v>
      </c>
      <c r="B62" s="29"/>
      <c r="C62" s="123"/>
      <c r="D62" s="123"/>
      <c r="E62" s="130"/>
      <c r="F62" s="123"/>
      <c r="G62" s="123"/>
    </row>
    <row r="63" spans="1:11" s="7" customFormat="1" ht="13.8" x14ac:dyDescent="0.25">
      <c r="A63" s="29"/>
      <c r="B63" s="29"/>
      <c r="C63" s="123"/>
      <c r="D63" s="123"/>
      <c r="E63" s="123"/>
      <c r="F63" s="123"/>
      <c r="G63" s="123"/>
    </row>
    <row r="64" spans="1:11" x14ac:dyDescent="0.25">
      <c r="A64" s="23" t="s">
        <v>473</v>
      </c>
      <c r="B64" s="23"/>
      <c r="C64" s="9"/>
      <c r="D64" s="9"/>
      <c r="E64" s="12"/>
      <c r="F64" s="12"/>
      <c r="G64" s="12"/>
      <c r="H64" s="7"/>
      <c r="I64" s="7"/>
      <c r="J64" s="7"/>
      <c r="K64" s="7"/>
    </row>
    <row r="65" spans="1:11" x14ac:dyDescent="0.25">
      <c r="A65" s="23" t="s">
        <v>478</v>
      </c>
      <c r="B65" s="23"/>
      <c r="C65" s="9"/>
      <c r="D65" s="9"/>
      <c r="E65" s="12"/>
      <c r="F65" s="12"/>
      <c r="G65" s="12"/>
      <c r="H65" s="7"/>
      <c r="I65" s="7"/>
      <c r="J65" s="7"/>
      <c r="K65" s="7"/>
    </row>
    <row r="66" spans="1:11" s="129" customFormat="1" ht="13.8" x14ac:dyDescent="0.25">
      <c r="A66" s="23" t="s">
        <v>474</v>
      </c>
      <c r="B66" s="23"/>
      <c r="C66" s="9"/>
      <c r="D66" s="9"/>
      <c r="E66" s="12"/>
      <c r="F66" s="12"/>
      <c r="G66" s="12"/>
      <c r="H66" s="7"/>
      <c r="I66" s="7"/>
      <c r="J66" s="7"/>
      <c r="K66" s="7"/>
    </row>
    <row r="67" spans="1:11" s="129" customFormat="1" ht="13.8" x14ac:dyDescent="0.25">
      <c r="A67" s="23" t="s">
        <v>475</v>
      </c>
      <c r="B67" s="23"/>
      <c r="C67" s="9"/>
      <c r="D67" s="9"/>
      <c r="E67" s="12"/>
      <c r="F67" s="12"/>
      <c r="G67" s="12"/>
      <c r="H67" s="7"/>
      <c r="I67" s="7"/>
      <c r="J67" s="7"/>
      <c r="K67" s="7"/>
    </row>
    <row r="68" spans="1:11" s="129" customFormat="1" ht="13.8" x14ac:dyDescent="0.25">
      <c r="A68" s="23" t="s">
        <v>476</v>
      </c>
      <c r="B68" s="23"/>
      <c r="C68" s="9"/>
      <c r="D68" s="9"/>
      <c r="E68" s="12"/>
      <c r="F68" s="12"/>
      <c r="G68" s="12"/>
      <c r="H68" s="7"/>
      <c r="I68" s="7"/>
      <c r="J68" s="7"/>
      <c r="K68" s="7"/>
    </row>
    <row r="69" spans="1:11" s="129" customFormat="1" ht="13.8" x14ac:dyDescent="0.25">
      <c r="A69" s="23" t="s">
        <v>477</v>
      </c>
      <c r="B69" s="23"/>
      <c r="C69" s="9"/>
      <c r="D69" s="9"/>
      <c r="E69" s="12"/>
      <c r="F69" s="12"/>
      <c r="G69" s="12"/>
      <c r="H69" s="7"/>
      <c r="I69" s="7"/>
      <c r="J69" s="7"/>
      <c r="K69" s="7"/>
    </row>
    <row r="70" spans="1:11" s="129" customFormat="1" ht="13.8" x14ac:dyDescent="0.25">
      <c r="A70" s="23"/>
      <c r="B70" s="23"/>
      <c r="C70" s="9"/>
      <c r="D70" s="9"/>
      <c r="E70" s="12"/>
      <c r="F70" s="12"/>
      <c r="G70" s="12"/>
      <c r="H70" s="7"/>
      <c r="I70" s="7"/>
      <c r="J70" s="7"/>
      <c r="K70" s="7"/>
    </row>
    <row r="71" spans="1:11" s="129" customFormat="1" ht="16.8" x14ac:dyDescent="0.3">
      <c r="A71" s="128" t="s">
        <v>479</v>
      </c>
      <c r="B71" s="23"/>
      <c r="C71" s="1"/>
      <c r="D71" s="1"/>
      <c r="E71" s="123"/>
      <c r="F71" s="123"/>
      <c r="G71" s="123"/>
    </row>
    <row r="72" spans="1:11" s="129" customFormat="1" ht="14.4" x14ac:dyDescent="0.25">
      <c r="A72" s="251"/>
      <c r="B72" s="23"/>
      <c r="C72" s="1"/>
      <c r="D72" s="1"/>
      <c r="E72" s="123"/>
      <c r="F72" s="123"/>
      <c r="G72" s="123"/>
    </row>
    <row r="73" spans="1:11" s="58" customFormat="1" ht="13.8" x14ac:dyDescent="0.25">
      <c r="A73" s="194" t="s">
        <v>480</v>
      </c>
      <c r="B73" s="23"/>
      <c r="C73" s="81"/>
      <c r="D73" s="81"/>
      <c r="E73" s="60"/>
      <c r="F73" s="60"/>
      <c r="G73" s="60"/>
    </row>
    <row r="74" spans="1:11" s="58" customFormat="1" ht="13.8" x14ac:dyDescent="0.25">
      <c r="A74" s="23" t="s">
        <v>483</v>
      </c>
      <c r="B74" s="23"/>
      <c r="C74" s="81"/>
      <c r="D74" s="81"/>
      <c r="E74" s="60"/>
      <c r="F74" s="60"/>
      <c r="G74" s="60"/>
    </row>
    <row r="75" spans="1:11" s="252" customFormat="1" ht="15.6" x14ac:dyDescent="0.3">
      <c r="A75" s="23" t="s">
        <v>481</v>
      </c>
      <c r="B75" s="23"/>
      <c r="C75" s="81"/>
      <c r="D75" s="81"/>
      <c r="E75" s="60"/>
      <c r="F75" s="60"/>
      <c r="G75" s="60"/>
    </row>
    <row r="76" spans="1:11" s="252" customFormat="1" ht="15.6" x14ac:dyDescent="0.3">
      <c r="A76" s="23" t="s">
        <v>482</v>
      </c>
      <c r="B76" s="23"/>
      <c r="C76" s="81"/>
      <c r="D76" s="81"/>
      <c r="E76" s="60"/>
      <c r="F76" s="60"/>
      <c r="G76" s="60"/>
    </row>
    <row r="77" spans="1:11" x14ac:dyDescent="0.25">
      <c r="A77" s="23"/>
      <c r="B77" s="23"/>
      <c r="C77" s="1"/>
      <c r="D77" s="1"/>
      <c r="E77" s="123"/>
      <c r="F77" s="123"/>
      <c r="G77" s="123"/>
    </row>
    <row r="78" spans="1:11" s="129" customFormat="1" ht="13.8" x14ac:dyDescent="0.25">
      <c r="A78" s="23"/>
      <c r="B78" s="23"/>
      <c r="C78" s="1"/>
      <c r="D78" s="1"/>
      <c r="E78" s="123"/>
      <c r="F78" s="123"/>
      <c r="G78" s="123"/>
    </row>
    <row r="79" spans="1:11" s="129" customFormat="1" ht="13.8" x14ac:dyDescent="0.25">
      <c r="A79" s="23"/>
      <c r="B79" s="23"/>
      <c r="C79" s="1"/>
      <c r="D79" s="1"/>
      <c r="E79" s="123"/>
      <c r="F79" s="123"/>
      <c r="G79" s="123"/>
    </row>
    <row r="80" spans="1:11" x14ac:dyDescent="0.25">
      <c r="A80" s="1"/>
      <c r="B80" s="1"/>
      <c r="C80" s="1"/>
      <c r="D80" s="1"/>
      <c r="E80" s="123"/>
      <c r="F80" s="123"/>
      <c r="G80" s="123"/>
    </row>
    <row r="81" spans="1:7" ht="15.6" x14ac:dyDescent="0.3">
      <c r="A81" s="131"/>
      <c r="B81" s="13"/>
      <c r="C81" s="13"/>
      <c r="D81" s="13"/>
      <c r="E81" s="13"/>
      <c r="F81" s="13"/>
      <c r="G81" s="13"/>
    </row>
    <row r="82" spans="1:7" x14ac:dyDescent="0.25">
      <c r="A82" s="129"/>
    </row>
    <row r="83" spans="1:7" x14ac:dyDescent="0.25">
      <c r="A83" s="129"/>
    </row>
    <row r="84" spans="1:7" x14ac:dyDescent="0.25">
      <c r="A84" s="129"/>
    </row>
  </sheetData>
  <mergeCells count="2">
    <mergeCell ref="A14:I15"/>
    <mergeCell ref="A19:I2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alignWithMargins="0">
    <oddFooter>&amp;C&amp;P</oddFooter>
  </headerFooter>
  <rowBreaks count="1" manualBreakCount="1"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8">
    <tabColor indexed="13"/>
    <pageSetUpPr fitToPage="1"/>
  </sheetPr>
  <dimension ref="A1:T277"/>
  <sheetViews>
    <sheetView zoomScaleNormal="100" zoomScaleSheetLayoutView="85" workbookViewId="0">
      <pane ySplit="6" topLeftCell="A7" activePane="bottomLeft" state="frozen"/>
      <selection pane="bottomLeft"/>
    </sheetView>
  </sheetViews>
  <sheetFormatPr defaultColWidth="8.8984375" defaultRowHeight="15.6" x14ac:dyDescent="0.3"/>
  <cols>
    <col min="1" max="1" width="16.09765625" style="3" customWidth="1"/>
    <col min="2" max="2" width="16.3984375" style="3" customWidth="1"/>
    <col min="3" max="3" width="9.59765625" style="3" customWidth="1"/>
    <col min="4" max="4" width="1.59765625" style="3" customWidth="1"/>
    <col min="5" max="5" width="11.5" style="99" customWidth="1"/>
    <col min="6" max="6" width="1.59765625" style="3" customWidth="1"/>
    <col min="7" max="7" width="9.5" style="99" customWidth="1"/>
    <col min="8" max="8" width="1.59765625" style="3" customWidth="1"/>
    <col min="9" max="9" width="9.5" style="99" customWidth="1"/>
    <col min="10" max="10" width="1.59765625" style="3" customWidth="1"/>
    <col min="11" max="11" width="9.5" style="99" customWidth="1"/>
    <col min="12" max="12" width="1.09765625" style="3" customWidth="1"/>
    <col min="13" max="13" width="9.59765625" style="152" customWidth="1"/>
    <col min="14" max="14" width="13.19921875" style="99" bestFit="1" customWidth="1"/>
    <col min="15" max="15" width="8.8984375" style="381"/>
    <col min="16" max="16" width="14.3984375" style="109" customWidth="1"/>
    <col min="17" max="17" width="8.8984375" style="382"/>
    <col min="18" max="16384" width="8.8984375" style="3"/>
  </cols>
  <sheetData>
    <row r="1" spans="1:17" x14ac:dyDescent="0.3">
      <c r="A1" s="27" t="s">
        <v>338</v>
      </c>
      <c r="B1" s="27"/>
      <c r="C1" s="27"/>
      <c r="D1" s="27"/>
      <c r="F1" s="27"/>
      <c r="H1" s="27"/>
      <c r="J1" s="27"/>
      <c r="L1" s="27"/>
      <c r="M1" s="149"/>
    </row>
    <row r="2" spans="1:17" s="6" customFormat="1" ht="22.8" x14ac:dyDescent="0.4">
      <c r="A2" s="14" t="s">
        <v>274</v>
      </c>
      <c r="B2" s="14"/>
      <c r="C2" s="15"/>
      <c r="D2" s="15"/>
      <c r="E2" s="99"/>
      <c r="F2" s="15"/>
      <c r="G2" s="99"/>
      <c r="H2" s="16"/>
      <c r="I2" s="99"/>
      <c r="J2" s="16"/>
      <c r="K2" s="99"/>
      <c r="L2" s="16"/>
      <c r="M2" s="150"/>
      <c r="N2" s="99"/>
      <c r="O2" s="383"/>
      <c r="P2" s="183"/>
      <c r="Q2" s="183"/>
    </row>
    <row r="3" spans="1:17" s="6" customFormat="1" ht="13.8" x14ac:dyDescent="0.25">
      <c r="A3" s="56"/>
      <c r="B3" s="56"/>
      <c r="C3" s="56"/>
      <c r="D3" s="56"/>
      <c r="E3" s="99"/>
      <c r="F3" s="56"/>
      <c r="G3" s="99"/>
      <c r="H3" s="55"/>
      <c r="I3" s="99"/>
      <c r="J3" s="55"/>
      <c r="K3" s="99"/>
      <c r="L3" s="55"/>
      <c r="M3" s="151"/>
      <c r="N3" s="99"/>
      <c r="O3" s="383"/>
      <c r="P3" s="183"/>
      <c r="Q3" s="183"/>
    </row>
    <row r="4" spans="1:17" s="6" customFormat="1" ht="13.8" x14ac:dyDescent="0.25">
      <c r="A4" s="55"/>
      <c r="B4" s="55"/>
      <c r="C4" s="55"/>
      <c r="D4" s="55"/>
      <c r="E4" s="99"/>
      <c r="F4" s="55"/>
      <c r="G4" s="99"/>
      <c r="H4" s="55"/>
      <c r="I4" s="99"/>
      <c r="J4" s="55"/>
      <c r="K4" s="99"/>
      <c r="L4" s="87"/>
      <c r="M4" s="160"/>
      <c r="N4" s="99"/>
      <c r="O4" s="383"/>
      <c r="P4" s="183"/>
      <c r="Q4" s="183"/>
    </row>
    <row r="5" spans="1:17" s="6" customFormat="1" ht="27.6" x14ac:dyDescent="0.25">
      <c r="A5" s="56"/>
      <c r="B5" s="56"/>
      <c r="C5" s="55"/>
      <c r="D5" s="55"/>
      <c r="E5" s="357" t="s">
        <v>704</v>
      </c>
      <c r="F5" s="55"/>
      <c r="G5" s="357" t="s">
        <v>700</v>
      </c>
      <c r="H5" s="55"/>
      <c r="I5" s="366" t="s">
        <v>703</v>
      </c>
      <c r="J5" s="55"/>
      <c r="K5" s="259" t="str">
        <f>+Exploitatie!$D$3</f>
        <v>2019 - cf begroting</v>
      </c>
      <c r="L5" s="161"/>
      <c r="M5" s="162" t="s">
        <v>560</v>
      </c>
      <c r="N5" s="271"/>
      <c r="O5" s="383"/>
      <c r="P5" s="183"/>
      <c r="Q5" s="183"/>
    </row>
    <row r="6" spans="1:17" s="6" customFormat="1" ht="13.8" x14ac:dyDescent="0.25">
      <c r="A6" s="56"/>
      <c r="B6" s="56"/>
      <c r="C6" s="55"/>
      <c r="D6" s="55"/>
      <c r="E6" s="99" t="s">
        <v>256</v>
      </c>
      <c r="F6" s="55"/>
      <c r="G6" s="99" t="s">
        <v>256</v>
      </c>
      <c r="H6" s="55"/>
      <c r="I6" s="99" t="s">
        <v>256</v>
      </c>
      <c r="J6" s="55"/>
      <c r="K6" s="99" t="s">
        <v>256</v>
      </c>
      <c r="L6" s="83"/>
      <c r="M6" s="99" t="s">
        <v>256</v>
      </c>
      <c r="N6" s="99"/>
      <c r="O6" s="383"/>
      <c r="P6" s="183"/>
      <c r="Q6" s="183"/>
    </row>
    <row r="7" spans="1:17" s="6" customFormat="1" ht="17.399999999999999" x14ac:dyDescent="0.35">
      <c r="A7" s="21" t="s">
        <v>267</v>
      </c>
      <c r="B7" s="89"/>
      <c r="C7" s="55"/>
      <c r="D7" s="55"/>
      <c r="E7" s="99"/>
      <c r="F7" s="55"/>
      <c r="G7" s="99"/>
      <c r="H7" s="55"/>
      <c r="I7" s="99"/>
      <c r="J7" s="55"/>
      <c r="K7" s="99"/>
      <c r="L7" s="83"/>
      <c r="M7" s="154"/>
      <c r="N7" s="99"/>
      <c r="O7" s="383"/>
      <c r="P7" s="183"/>
      <c r="Q7" s="183"/>
    </row>
    <row r="8" spans="1:17" s="6" customFormat="1" ht="13.8" x14ac:dyDescent="0.25">
      <c r="A8" s="16" t="s">
        <v>232</v>
      </c>
      <c r="B8" s="16"/>
      <c r="C8" s="42"/>
      <c r="D8" s="42"/>
      <c r="E8" s="99">
        <v>445000</v>
      </c>
      <c r="F8" s="42"/>
      <c r="G8" s="99">
        <v>447000</v>
      </c>
      <c r="H8" s="17"/>
      <c r="I8" s="29">
        <v>425000</v>
      </c>
      <c r="J8" s="17"/>
      <c r="K8" s="99">
        <v>425000</v>
      </c>
      <c r="L8" s="99"/>
      <c r="M8" s="99">
        <v>397705</v>
      </c>
      <c r="N8" s="49"/>
      <c r="O8" s="384"/>
      <c r="P8" s="183"/>
      <c r="Q8" s="183"/>
    </row>
    <row r="9" spans="1:17" s="6" customFormat="1" ht="13.8" x14ac:dyDescent="0.25">
      <c r="A9" s="16" t="s">
        <v>233</v>
      </c>
      <c r="B9" s="16"/>
      <c r="C9" s="42"/>
      <c r="D9" s="42"/>
      <c r="E9" s="99">
        <v>163500</v>
      </c>
      <c r="F9" s="42"/>
      <c r="G9" s="99">
        <v>147800</v>
      </c>
      <c r="H9" s="17"/>
      <c r="I9" s="29">
        <v>158700</v>
      </c>
      <c r="J9" s="17"/>
      <c r="K9" s="99">
        <v>141000</v>
      </c>
      <c r="L9" s="99"/>
      <c r="M9" s="99">
        <v>129380</v>
      </c>
      <c r="N9" s="49"/>
      <c r="O9" s="384"/>
      <c r="P9" s="183"/>
      <c r="Q9" s="183"/>
    </row>
    <row r="10" spans="1:17" s="6" customFormat="1" ht="13.8" x14ac:dyDescent="0.25">
      <c r="A10" s="16" t="s">
        <v>234</v>
      </c>
      <c r="B10" s="16"/>
      <c r="C10" s="42"/>
      <c r="D10" s="42"/>
      <c r="E10" s="99">
        <v>285366.83998140908</v>
      </c>
      <c r="F10" s="42"/>
      <c r="G10" s="99">
        <v>285366.83998140908</v>
      </c>
      <c r="H10" s="17"/>
      <c r="I10" s="29">
        <v>258940</v>
      </c>
      <c r="J10" s="17"/>
      <c r="K10" s="99">
        <v>251640</v>
      </c>
      <c r="L10" s="99"/>
      <c r="M10" s="99">
        <v>224697.25</v>
      </c>
      <c r="N10" s="49"/>
      <c r="O10" s="384"/>
      <c r="P10" s="183"/>
      <c r="Q10" s="183"/>
    </row>
    <row r="11" spans="1:17" s="6" customFormat="1" ht="13.8" x14ac:dyDescent="0.25">
      <c r="A11" s="16" t="s">
        <v>235</v>
      </c>
      <c r="B11" s="16"/>
      <c r="C11" s="42"/>
      <c r="D11" s="42"/>
      <c r="E11" s="99">
        <v>15368</v>
      </c>
      <c r="F11" s="42"/>
      <c r="G11" s="99">
        <v>15368</v>
      </c>
      <c r="H11" s="17"/>
      <c r="I11" s="29">
        <v>14472</v>
      </c>
      <c r="J11" s="17"/>
      <c r="K11" s="99">
        <v>14300</v>
      </c>
      <c r="L11" s="99"/>
      <c r="M11" s="99">
        <v>13728</v>
      </c>
      <c r="N11" s="49"/>
      <c r="O11" s="384"/>
      <c r="P11" s="183"/>
      <c r="Q11" s="183"/>
    </row>
    <row r="12" spans="1:17" s="6" customFormat="1" ht="13.8" x14ac:dyDescent="0.25">
      <c r="A12" s="16" t="s">
        <v>236</v>
      </c>
      <c r="B12" s="16"/>
      <c r="C12" s="42"/>
      <c r="D12" s="42"/>
      <c r="E12" s="99">
        <v>10170</v>
      </c>
      <c r="F12" s="42"/>
      <c r="G12" s="99">
        <v>10170</v>
      </c>
      <c r="H12" s="17"/>
      <c r="I12" s="29">
        <v>9504</v>
      </c>
      <c r="J12" s="17"/>
      <c r="K12" s="99">
        <v>8600</v>
      </c>
      <c r="L12" s="99"/>
      <c r="M12" s="99">
        <v>8216</v>
      </c>
      <c r="N12" s="49"/>
      <c r="O12" s="384"/>
      <c r="P12" s="183"/>
      <c r="Q12" s="183"/>
    </row>
    <row r="13" spans="1:17" s="6" customFormat="1" ht="13.8" x14ac:dyDescent="0.25">
      <c r="A13" s="16" t="s">
        <v>97</v>
      </c>
      <c r="B13" s="16"/>
      <c r="C13" s="42"/>
      <c r="D13" s="42"/>
      <c r="E13" s="117">
        <v>-131955</v>
      </c>
      <c r="F13" s="42"/>
      <c r="G13" s="117">
        <v>-132038.1</v>
      </c>
      <c r="H13" s="17"/>
      <c r="I13" s="30">
        <v>-130635</v>
      </c>
      <c r="J13" s="17"/>
      <c r="K13" s="117">
        <v>-130635</v>
      </c>
      <c r="L13" s="99"/>
      <c r="M13" s="117">
        <v>-129289.5</v>
      </c>
      <c r="N13" s="49"/>
      <c r="O13" s="384"/>
      <c r="P13" s="183"/>
      <c r="Q13" s="183"/>
    </row>
    <row r="14" spans="1:17" s="6" customFormat="1" ht="14.4" thickBot="1" x14ac:dyDescent="0.3">
      <c r="A14" s="16"/>
      <c r="B14" s="16"/>
      <c r="C14" s="17"/>
      <c r="D14" s="17"/>
      <c r="E14" s="116">
        <f>SUM(E8:E13)</f>
        <v>787449.83998140902</v>
      </c>
      <c r="F14" s="17"/>
      <c r="G14" s="116">
        <f>SUM(G8:G13)</f>
        <v>773666.73998140905</v>
      </c>
      <c r="H14" s="17"/>
      <c r="I14" s="31">
        <f>SUM(I8:I13)</f>
        <v>735981</v>
      </c>
      <c r="J14" s="17"/>
      <c r="K14" s="116">
        <f>SUM(K8:K13)</f>
        <v>709905</v>
      </c>
      <c r="L14" s="99"/>
      <c r="M14" s="116">
        <f>SUM(M8:M13)</f>
        <v>644436.75</v>
      </c>
      <c r="N14" s="49"/>
      <c r="O14" s="384"/>
      <c r="P14" s="183"/>
      <c r="Q14" s="183"/>
    </row>
    <row r="15" spans="1:17" s="6" customFormat="1" ht="14.4" thickTop="1" x14ac:dyDescent="0.25">
      <c r="A15" s="16"/>
      <c r="B15" s="16"/>
      <c r="C15" s="17"/>
      <c r="D15" s="17"/>
      <c r="E15" s="99"/>
      <c r="F15" s="17"/>
      <c r="G15" s="99"/>
      <c r="H15" s="17"/>
      <c r="I15" s="99"/>
      <c r="J15" s="17"/>
      <c r="K15" s="99"/>
      <c r="L15" s="63"/>
      <c r="M15" s="99"/>
      <c r="N15" s="49"/>
      <c r="O15" s="384"/>
      <c r="P15" s="183"/>
      <c r="Q15" s="183"/>
    </row>
    <row r="16" spans="1:17" s="6" customFormat="1" ht="16.8" x14ac:dyDescent="0.3">
      <c r="A16" s="89" t="s">
        <v>417</v>
      </c>
      <c r="B16" s="89"/>
      <c r="C16" s="26"/>
      <c r="D16" s="26"/>
      <c r="E16" s="99"/>
      <c r="F16" s="26"/>
      <c r="G16" s="99"/>
      <c r="H16" s="17"/>
      <c r="I16" s="99"/>
      <c r="J16" s="17"/>
      <c r="K16" s="99"/>
      <c r="L16" s="71"/>
      <c r="M16" s="98"/>
      <c r="N16" s="49"/>
      <c r="O16" s="384"/>
      <c r="P16" s="183"/>
      <c r="Q16" s="183"/>
    </row>
    <row r="17" spans="1:17" s="6" customFormat="1" ht="13.8" x14ac:dyDescent="0.25">
      <c r="A17" s="16" t="s">
        <v>619</v>
      </c>
      <c r="B17" s="16"/>
      <c r="C17" s="42"/>
      <c r="D17" s="42"/>
      <c r="E17" s="99">
        <v>252000</v>
      </c>
      <c r="F17" s="42"/>
      <c r="G17" s="99">
        <v>245350</v>
      </c>
      <c r="H17" s="17"/>
      <c r="I17" s="99">
        <v>251465</v>
      </c>
      <c r="J17" s="17"/>
      <c r="K17" s="99">
        <v>245350</v>
      </c>
      <c r="L17" s="99"/>
      <c r="M17" s="99">
        <v>78810</v>
      </c>
      <c r="N17" s="49"/>
      <c r="O17" s="384"/>
      <c r="P17" s="183"/>
      <c r="Q17" s="183"/>
    </row>
    <row r="18" spans="1:17" s="6" customFormat="1" ht="13.8" x14ac:dyDescent="0.25">
      <c r="A18" s="16" t="s">
        <v>620</v>
      </c>
      <c r="B18" s="16"/>
      <c r="C18" s="42"/>
      <c r="D18" s="42"/>
      <c r="E18" s="99">
        <v>-16000</v>
      </c>
      <c r="F18" s="42"/>
      <c r="G18" s="99">
        <v>-15870</v>
      </c>
      <c r="H18" s="17"/>
      <c r="I18" s="99">
        <v>-15870</v>
      </c>
      <c r="J18" s="17"/>
      <c r="K18" s="99">
        <v>-15870</v>
      </c>
      <c r="L18" s="99"/>
      <c r="M18" s="99">
        <v>0</v>
      </c>
      <c r="N18" s="373"/>
      <c r="O18" s="384"/>
      <c r="P18" s="183"/>
      <c r="Q18" s="183"/>
    </row>
    <row r="19" spans="1:17" s="6" customFormat="1" ht="13.8" x14ac:dyDescent="0.25">
      <c r="A19" s="16" t="s">
        <v>621</v>
      </c>
      <c r="B19" s="16"/>
      <c r="C19" s="42"/>
      <c r="D19" s="42"/>
      <c r="E19" s="117">
        <v>6000</v>
      </c>
      <c r="F19" s="42"/>
      <c r="G19" s="117">
        <v>6000</v>
      </c>
      <c r="H19" s="17"/>
      <c r="I19" s="117">
        <v>6000</v>
      </c>
      <c r="J19" s="17"/>
      <c r="K19" s="117">
        <v>6000</v>
      </c>
      <c r="L19" s="117"/>
      <c r="M19" s="117">
        <v>9750</v>
      </c>
      <c r="N19" s="49"/>
      <c r="O19" s="384"/>
      <c r="P19" s="183"/>
      <c r="Q19" s="183"/>
    </row>
    <row r="20" spans="1:17" s="6" customFormat="1" ht="14.4" thickBot="1" x14ac:dyDescent="0.3">
      <c r="A20" s="16"/>
      <c r="B20" s="16"/>
      <c r="C20" s="17"/>
      <c r="D20" s="17"/>
      <c r="E20" s="116">
        <f>SUM(E17:E19)</f>
        <v>242000</v>
      </c>
      <c r="F20" s="17"/>
      <c r="G20" s="116">
        <f>SUM(G17:G19)</f>
        <v>235480</v>
      </c>
      <c r="H20" s="17"/>
      <c r="I20" s="116">
        <f>SUM(I17:I19)</f>
        <v>241595</v>
      </c>
      <c r="J20" s="17"/>
      <c r="K20" s="116">
        <f>SUM(K17:K19)</f>
        <v>235480</v>
      </c>
      <c r="L20" s="116"/>
      <c r="M20" s="116">
        <f>SUM(M17:M19)</f>
        <v>88560</v>
      </c>
      <c r="N20" s="49"/>
      <c r="O20" s="384"/>
      <c r="P20" s="183"/>
      <c r="Q20" s="183"/>
    </row>
    <row r="21" spans="1:17" s="6" customFormat="1" ht="17.399999999999999" thickTop="1" x14ac:dyDescent="0.3">
      <c r="A21" s="89"/>
      <c r="B21" s="89"/>
      <c r="C21" s="26"/>
      <c r="D21" s="26"/>
      <c r="E21" s="99"/>
      <c r="F21" s="26"/>
      <c r="G21" s="99"/>
      <c r="H21" s="17"/>
      <c r="I21" s="99"/>
      <c r="J21" s="17"/>
      <c r="K21" s="99"/>
      <c r="L21" s="71"/>
      <c r="M21" s="98"/>
      <c r="N21" s="49"/>
      <c r="O21" s="384"/>
      <c r="P21" s="183"/>
      <c r="Q21" s="183"/>
    </row>
    <row r="22" spans="1:17" s="6" customFormat="1" ht="16.8" x14ac:dyDescent="0.3">
      <c r="A22" s="89" t="s">
        <v>622</v>
      </c>
      <c r="B22" s="89"/>
      <c r="C22" s="26"/>
      <c r="D22" s="26"/>
      <c r="E22" s="99"/>
      <c r="F22" s="26"/>
      <c r="G22" s="99"/>
      <c r="H22" s="17"/>
      <c r="I22" s="99"/>
      <c r="J22" s="17"/>
      <c r="K22" s="99"/>
      <c r="L22" s="71"/>
      <c r="M22" s="98"/>
      <c r="N22" s="49"/>
      <c r="O22" s="384"/>
      <c r="P22" s="183"/>
      <c r="Q22" s="183"/>
    </row>
    <row r="23" spans="1:17" s="6" customFormat="1" ht="16.8" x14ac:dyDescent="0.3">
      <c r="A23" t="s">
        <v>619</v>
      </c>
      <c r="B23" s="89"/>
      <c r="C23" s="26"/>
      <c r="D23" s="26"/>
      <c r="E23" s="99">
        <v>0</v>
      </c>
      <c r="F23" s="26"/>
      <c r="G23" s="99">
        <v>19250</v>
      </c>
      <c r="H23" s="17"/>
      <c r="I23" s="99">
        <v>19750</v>
      </c>
      <c r="J23" s="17"/>
      <c r="K23" s="99">
        <v>19250</v>
      </c>
      <c r="L23" s="99"/>
      <c r="M23" s="99">
        <v>11984</v>
      </c>
      <c r="N23" s="49"/>
      <c r="O23" s="384"/>
      <c r="P23" s="183"/>
      <c r="Q23" s="183"/>
    </row>
    <row r="24" spans="1:17" s="6" customFormat="1" ht="16.8" x14ac:dyDescent="0.3">
      <c r="A24" t="s">
        <v>627</v>
      </c>
      <c r="B24" s="89"/>
      <c r="C24" s="26"/>
      <c r="D24" s="26"/>
      <c r="E24" s="99">
        <v>0</v>
      </c>
      <c r="F24" s="26"/>
      <c r="G24" s="99">
        <v>-1694</v>
      </c>
      <c r="H24" s="17"/>
      <c r="I24" s="99">
        <v>-1694</v>
      </c>
      <c r="J24" s="17"/>
      <c r="K24" s="99">
        <v>-1694</v>
      </c>
      <c r="L24" s="99"/>
      <c r="M24" s="99">
        <v>-1173</v>
      </c>
      <c r="N24" s="49"/>
      <c r="O24" s="384"/>
      <c r="P24" s="183"/>
      <c r="Q24" s="183"/>
    </row>
    <row r="25" spans="1:17" s="6" customFormat="1" ht="16.8" x14ac:dyDescent="0.3">
      <c r="A25" t="s">
        <v>621</v>
      </c>
      <c r="B25" s="89"/>
      <c r="C25" s="26"/>
      <c r="D25" s="26"/>
      <c r="E25" s="117">
        <v>0</v>
      </c>
      <c r="F25" s="26"/>
      <c r="G25" s="117">
        <v>475</v>
      </c>
      <c r="H25" s="17"/>
      <c r="I25" s="117">
        <v>0</v>
      </c>
      <c r="J25" s="17"/>
      <c r="K25" s="117">
        <v>475</v>
      </c>
      <c r="L25" s="117"/>
      <c r="M25" s="117">
        <v>0</v>
      </c>
      <c r="N25" s="49"/>
      <c r="O25" s="384"/>
      <c r="P25" s="183"/>
      <c r="Q25" s="183"/>
    </row>
    <row r="26" spans="1:17" s="6" customFormat="1" ht="17.399999999999999" thickBot="1" x14ac:dyDescent="0.35">
      <c r="A26" s="89"/>
      <c r="B26" s="89"/>
      <c r="C26" s="26"/>
      <c r="D26" s="26"/>
      <c r="E26" s="116">
        <f>SUM(E23:E25)</f>
        <v>0</v>
      </c>
      <c r="F26" s="26"/>
      <c r="G26" s="116">
        <f>SUM(G23:G25)</f>
        <v>18031</v>
      </c>
      <c r="H26" s="17"/>
      <c r="I26" s="116">
        <f>SUM(I23:I25)</f>
        <v>18056</v>
      </c>
      <c r="J26" s="17"/>
      <c r="K26" s="116">
        <f>SUM(K23:K25)</f>
        <v>18031</v>
      </c>
      <c r="L26" s="116"/>
      <c r="M26" s="116">
        <f>SUM(M23:M25)</f>
        <v>10811</v>
      </c>
      <c r="N26" s="49"/>
      <c r="O26" s="384"/>
      <c r="P26" s="183"/>
      <c r="Q26" s="183"/>
    </row>
    <row r="27" spans="1:17" s="6" customFormat="1" ht="17.399999999999999" thickTop="1" x14ac:dyDescent="0.3">
      <c r="A27" s="89"/>
      <c r="B27" s="89"/>
      <c r="C27" s="26"/>
      <c r="D27" s="26"/>
      <c r="E27" s="99"/>
      <c r="F27" s="26"/>
      <c r="G27" s="99"/>
      <c r="H27" s="17"/>
      <c r="I27" s="99"/>
      <c r="J27" s="17"/>
      <c r="K27" s="93"/>
      <c r="L27" s="71"/>
      <c r="M27" s="98"/>
      <c r="N27" s="49"/>
      <c r="O27" s="384"/>
      <c r="P27" s="183"/>
      <c r="Q27" s="183"/>
    </row>
    <row r="28" spans="1:17" s="6" customFormat="1" ht="16.8" x14ac:dyDescent="0.3">
      <c r="A28" s="89" t="s">
        <v>625</v>
      </c>
      <c r="B28" s="89"/>
      <c r="C28" s="26"/>
      <c r="D28" s="26"/>
      <c r="E28" s="99"/>
      <c r="F28" s="26"/>
      <c r="G28" s="99"/>
      <c r="H28" s="17"/>
      <c r="I28" s="99"/>
      <c r="J28" s="17"/>
      <c r="K28" s="93"/>
      <c r="L28" s="71"/>
      <c r="M28" s="98"/>
      <c r="N28" s="49"/>
      <c r="O28" s="384"/>
      <c r="P28" s="183"/>
      <c r="Q28" s="183"/>
    </row>
    <row r="29" spans="1:17" s="6" customFormat="1" ht="16.8" x14ac:dyDescent="0.3">
      <c r="A29" t="s">
        <v>619</v>
      </c>
      <c r="B29" s="89"/>
      <c r="C29" s="26"/>
      <c r="D29" s="26"/>
      <c r="E29" s="99">
        <v>17350</v>
      </c>
      <c r="F29" s="26"/>
      <c r="G29" s="99">
        <v>17350</v>
      </c>
      <c r="H29" s="17"/>
      <c r="I29" s="99">
        <v>17350</v>
      </c>
      <c r="J29" s="17"/>
      <c r="K29" s="99">
        <v>16000</v>
      </c>
      <c r="L29" s="99"/>
      <c r="M29" s="99">
        <v>0</v>
      </c>
      <c r="N29" s="49"/>
      <c r="O29" s="384"/>
      <c r="P29" s="183"/>
      <c r="Q29" s="183"/>
    </row>
    <row r="30" spans="1:17" s="6" customFormat="1" ht="16.8" x14ac:dyDescent="0.3">
      <c r="A30" s="261" t="s">
        <v>627</v>
      </c>
      <c r="B30" s="89"/>
      <c r="C30" s="26"/>
      <c r="D30" s="26"/>
      <c r="E30" s="117">
        <v>-1600</v>
      </c>
      <c r="F30" s="26"/>
      <c r="G30" s="117">
        <v>-1600</v>
      </c>
      <c r="H30" s="17"/>
      <c r="I30" s="117">
        <v>-1656</v>
      </c>
      <c r="J30" s="17"/>
      <c r="K30" s="117"/>
      <c r="L30" s="99"/>
      <c r="M30" s="117"/>
      <c r="N30" s="49"/>
      <c r="O30" s="384"/>
      <c r="P30" s="183"/>
      <c r="Q30" s="183"/>
    </row>
    <row r="31" spans="1:17" s="6" customFormat="1" ht="17.399999999999999" thickBot="1" x14ac:dyDescent="0.35">
      <c r="A31" s="261"/>
      <c r="B31" s="89"/>
      <c r="C31" s="26"/>
      <c r="D31" s="26"/>
      <c r="E31" s="100">
        <f>SUM(E29:E30)</f>
        <v>15750</v>
      </c>
      <c r="F31" s="26"/>
      <c r="G31" s="100">
        <f>SUM(G29:G30)</f>
        <v>15750</v>
      </c>
      <c r="H31" s="17"/>
      <c r="I31" s="100">
        <f t="shared" ref="I31" si="0">SUM(I29:I30)</f>
        <v>15694</v>
      </c>
      <c r="J31" s="17"/>
      <c r="K31" s="100">
        <f t="shared" ref="K31:M31" si="1">SUM(K29:K30)</f>
        <v>16000</v>
      </c>
      <c r="L31" s="99">
        <f t="shared" si="1"/>
        <v>0</v>
      </c>
      <c r="M31" s="100">
        <f t="shared" si="1"/>
        <v>0</v>
      </c>
      <c r="N31" s="49"/>
      <c r="O31" s="384"/>
      <c r="P31" s="183"/>
      <c r="Q31" s="183"/>
    </row>
    <row r="32" spans="1:17" s="6" customFormat="1" ht="17.399999999999999" thickTop="1" x14ac:dyDescent="0.3">
      <c r="A32"/>
      <c r="B32" s="89"/>
      <c r="C32" s="26"/>
      <c r="D32" s="26"/>
      <c r="E32" s="99"/>
      <c r="F32" s="26"/>
      <c r="G32" s="99"/>
      <c r="H32" s="17"/>
      <c r="I32" s="99"/>
      <c r="J32" s="17"/>
      <c r="K32" s="99"/>
      <c r="L32" s="99"/>
      <c r="M32" s="99"/>
      <c r="N32" s="49"/>
      <c r="O32" s="384"/>
      <c r="P32" s="183"/>
      <c r="Q32" s="183"/>
    </row>
    <row r="33" spans="1:17" s="6" customFormat="1" ht="16.8" x14ac:dyDescent="0.3">
      <c r="A33" s="89"/>
      <c r="B33" s="89"/>
      <c r="C33" s="26"/>
      <c r="D33" s="26"/>
      <c r="E33" s="99"/>
      <c r="F33" s="26"/>
      <c r="G33" s="99"/>
      <c r="H33" s="17"/>
      <c r="I33" s="99"/>
      <c r="J33" s="17"/>
      <c r="K33" s="99"/>
      <c r="L33" s="71"/>
      <c r="M33" s="98"/>
      <c r="N33" s="49"/>
      <c r="O33" s="384"/>
      <c r="P33" s="183"/>
      <c r="Q33" s="183"/>
    </row>
    <row r="34" spans="1:17" s="6" customFormat="1" ht="17.399999999999999" x14ac:dyDescent="0.35">
      <c r="A34" s="21" t="s">
        <v>505</v>
      </c>
      <c r="B34" s="89"/>
      <c r="C34" s="26"/>
      <c r="D34" s="26"/>
      <c r="E34" s="99"/>
      <c r="F34" s="26"/>
      <c r="G34" s="99"/>
      <c r="H34" s="17"/>
      <c r="I34" s="99"/>
      <c r="J34" s="17"/>
      <c r="K34" s="99"/>
      <c r="L34" s="63"/>
      <c r="M34" s="98"/>
      <c r="N34" s="49"/>
      <c r="O34" s="384"/>
      <c r="P34" s="183"/>
      <c r="Q34" s="183"/>
    </row>
    <row r="35" spans="1:17" s="6" customFormat="1" ht="14.4" thickBot="1" x14ac:dyDescent="0.3">
      <c r="A35" s="16" t="s">
        <v>506</v>
      </c>
      <c r="B35" s="16"/>
      <c r="C35" s="16"/>
      <c r="D35" s="16"/>
      <c r="E35" s="116">
        <f>E42</f>
        <v>731496</v>
      </c>
      <c r="F35" s="16"/>
      <c r="G35" s="116">
        <f>G42</f>
        <v>758440</v>
      </c>
      <c r="H35" s="17"/>
      <c r="I35" s="116">
        <v>839999</v>
      </c>
      <c r="J35" s="17"/>
      <c r="K35" s="116">
        <f>K42</f>
        <v>846870</v>
      </c>
      <c r="L35" s="71"/>
      <c r="M35" s="116">
        <f>M42</f>
        <v>752384</v>
      </c>
      <c r="N35" s="49"/>
      <c r="O35" s="384"/>
      <c r="P35" s="183"/>
      <c r="Q35" s="183"/>
    </row>
    <row r="36" spans="1:17" s="6" customFormat="1" ht="14.4" thickTop="1" x14ac:dyDescent="0.25">
      <c r="A36" s="16"/>
      <c r="B36" s="16"/>
      <c r="C36" s="16"/>
      <c r="D36" s="16"/>
      <c r="E36" s="98"/>
      <c r="F36" s="16"/>
      <c r="G36" s="98"/>
      <c r="H36" s="17"/>
      <c r="I36" s="98"/>
      <c r="J36" s="17"/>
      <c r="K36" s="98"/>
      <c r="L36" s="71"/>
      <c r="M36" s="98"/>
      <c r="N36" s="49"/>
      <c r="O36" s="384"/>
      <c r="P36" s="183"/>
      <c r="Q36" s="183"/>
    </row>
    <row r="37" spans="1:17" s="6" customFormat="1" ht="16.2" x14ac:dyDescent="0.35">
      <c r="A37" s="21" t="s">
        <v>505</v>
      </c>
      <c r="B37" s="15"/>
      <c r="C37" s="26"/>
      <c r="D37" s="26"/>
      <c r="E37" s="99"/>
      <c r="F37" s="26"/>
      <c r="G37" s="99"/>
      <c r="H37" s="17"/>
      <c r="I37" s="99"/>
      <c r="J37" s="17"/>
      <c r="K37" s="99"/>
      <c r="L37" s="71"/>
      <c r="M37" s="98"/>
      <c r="N37" s="49"/>
      <c r="O37" s="384"/>
      <c r="P37" s="183"/>
      <c r="Q37" s="183"/>
    </row>
    <row r="38" spans="1:17" s="6" customFormat="1" ht="13.8" x14ac:dyDescent="0.25">
      <c r="A38" s="16" t="s">
        <v>645</v>
      </c>
      <c r="B38" s="16"/>
      <c r="C38" s="16"/>
      <c r="D38" s="16"/>
      <c r="E38" s="99">
        <v>153010</v>
      </c>
      <c r="F38" s="16"/>
      <c r="G38" s="99">
        <v>155875</v>
      </c>
      <c r="H38" s="17"/>
      <c r="I38" s="99">
        <v>155875</v>
      </c>
      <c r="J38" s="17"/>
      <c r="K38" s="99">
        <v>155875</v>
      </c>
      <c r="L38" s="71"/>
      <c r="M38" s="99">
        <v>152270</v>
      </c>
      <c r="N38" s="49"/>
      <c r="O38" s="384"/>
      <c r="P38" s="183"/>
      <c r="Q38" s="183"/>
    </row>
    <row r="39" spans="1:17" s="6" customFormat="1" ht="13.8" x14ac:dyDescent="0.25">
      <c r="A39" s="16" t="s">
        <v>646</v>
      </c>
      <c r="B39" s="16"/>
      <c r="C39" s="16"/>
      <c r="D39" s="16"/>
      <c r="E39" s="99">
        <v>34938</v>
      </c>
      <c r="F39" s="16"/>
      <c r="G39" s="99">
        <v>36565</v>
      </c>
      <c r="H39" s="17"/>
      <c r="I39" s="99">
        <v>36565</v>
      </c>
      <c r="J39" s="17"/>
      <c r="K39" s="99">
        <v>36565</v>
      </c>
      <c r="L39" s="71"/>
      <c r="M39" s="99">
        <v>36183</v>
      </c>
      <c r="N39" s="49"/>
      <c r="O39" s="384"/>
      <c r="P39" s="183"/>
      <c r="Q39" s="183"/>
    </row>
    <row r="40" spans="1:17" s="6" customFormat="1" ht="13.8" x14ac:dyDescent="0.25">
      <c r="A40" s="16" t="s">
        <v>647</v>
      </c>
      <c r="B40" s="16"/>
      <c r="C40" s="16"/>
      <c r="D40" s="16"/>
      <c r="E40" s="99">
        <v>379944</v>
      </c>
      <c r="F40" s="16"/>
      <c r="G40" s="99">
        <f>440939-57439</f>
        <v>383500</v>
      </c>
      <c r="H40" s="17"/>
      <c r="I40" s="99">
        <v>430259</v>
      </c>
      <c r="J40" s="17"/>
      <c r="K40" s="99">
        <v>442180</v>
      </c>
      <c r="L40" s="71"/>
      <c r="M40" s="99">
        <v>379602</v>
      </c>
      <c r="N40" s="49"/>
      <c r="O40" s="384"/>
      <c r="P40" s="183"/>
      <c r="Q40" s="183"/>
    </row>
    <row r="41" spans="1:17" s="6" customFormat="1" ht="13.8" x14ac:dyDescent="0.25">
      <c r="A41" s="16" t="s">
        <v>648</v>
      </c>
      <c r="B41" s="16"/>
      <c r="C41" s="16"/>
      <c r="D41" s="16"/>
      <c r="E41" s="117">
        <v>163604</v>
      </c>
      <c r="F41" s="16"/>
      <c r="G41" s="117">
        <f>222050-39550</f>
        <v>182500</v>
      </c>
      <c r="H41" s="17"/>
      <c r="I41" s="117">
        <v>217300</v>
      </c>
      <c r="J41" s="17"/>
      <c r="K41" s="117">
        <v>212250</v>
      </c>
      <c r="L41" s="71"/>
      <c r="M41" s="117">
        <v>184329</v>
      </c>
      <c r="N41" s="49"/>
      <c r="O41" s="384"/>
      <c r="P41" s="183"/>
      <c r="Q41" s="183"/>
    </row>
    <row r="42" spans="1:17" s="6" customFormat="1" ht="14.4" thickBot="1" x14ac:dyDescent="0.3">
      <c r="A42" s="16"/>
      <c r="B42" s="16"/>
      <c r="C42" s="254"/>
      <c r="D42" s="254"/>
      <c r="E42" s="116">
        <f>SUM(E38:E41)</f>
        <v>731496</v>
      </c>
      <c r="F42" s="254"/>
      <c r="G42" s="116">
        <f>SUM(G38:G41)</f>
        <v>758440</v>
      </c>
      <c r="H42" s="17"/>
      <c r="I42" s="116">
        <f>SUM(I38:I41)</f>
        <v>839999</v>
      </c>
      <c r="J42" s="17"/>
      <c r="K42" s="116">
        <f>SUM(K38:K41)</f>
        <v>846870</v>
      </c>
      <c r="L42" s="71"/>
      <c r="M42" s="116">
        <f>SUM(M38:M41)</f>
        <v>752384</v>
      </c>
      <c r="N42" s="49"/>
      <c r="O42" s="384"/>
      <c r="P42" s="183"/>
      <c r="Q42" s="183"/>
    </row>
    <row r="43" spans="1:17" s="6" customFormat="1" ht="14.4" thickTop="1" x14ac:dyDescent="0.25">
      <c r="A43" s="16"/>
      <c r="B43" s="16"/>
      <c r="C43" s="254"/>
      <c r="D43" s="254"/>
      <c r="E43" s="99"/>
      <c r="F43" s="254"/>
      <c r="G43" s="99"/>
      <c r="H43" s="17"/>
      <c r="I43" s="99"/>
      <c r="J43" s="17"/>
      <c r="K43" s="99"/>
      <c r="L43" s="71"/>
      <c r="M43" s="99"/>
      <c r="N43" s="49"/>
      <c r="O43" s="384"/>
      <c r="P43" s="183"/>
      <c r="Q43" s="183"/>
    </row>
    <row r="44" spans="1:17" s="6" customFormat="1" ht="16.8" x14ac:dyDescent="0.3">
      <c r="A44" s="89" t="s">
        <v>277</v>
      </c>
      <c r="B44" s="16"/>
      <c r="C44" s="16"/>
      <c r="D44" s="16"/>
      <c r="E44" s="98"/>
      <c r="F44" s="16"/>
      <c r="G44" s="98"/>
      <c r="H44" s="17"/>
      <c r="I44" s="98"/>
      <c r="J44" s="17"/>
      <c r="K44" s="98"/>
      <c r="L44" s="71"/>
      <c r="M44" s="98"/>
      <c r="N44" s="49"/>
      <c r="O44" s="384"/>
      <c r="P44" s="183"/>
      <c r="Q44" s="183"/>
    </row>
    <row r="45" spans="1:17" s="6" customFormat="1" ht="13.8" x14ac:dyDescent="0.25">
      <c r="A45" s="16" t="s">
        <v>562</v>
      </c>
      <c r="B45" s="16"/>
      <c r="C45" s="16"/>
      <c r="D45" s="16"/>
      <c r="E45" s="98">
        <v>286300</v>
      </c>
      <c r="F45" s="16"/>
      <c r="G45" s="98">
        <v>283415</v>
      </c>
      <c r="H45" s="17"/>
      <c r="I45" s="98">
        <v>283415</v>
      </c>
      <c r="J45" s="17"/>
      <c r="K45" s="98">
        <v>283415</v>
      </c>
      <c r="L45" s="71"/>
      <c r="M45" s="343">
        <v>283415</v>
      </c>
      <c r="N45" s="49"/>
      <c r="O45" s="384"/>
      <c r="P45" s="183"/>
      <c r="Q45" s="183"/>
    </row>
    <row r="46" spans="1:17" s="6" customFormat="1" ht="13.8" x14ac:dyDescent="0.25">
      <c r="A46" s="16" t="s">
        <v>521</v>
      </c>
      <c r="B46" s="16"/>
      <c r="C46" s="16"/>
      <c r="D46" s="16"/>
      <c r="E46" s="98">
        <v>110000</v>
      </c>
      <c r="F46" s="16"/>
      <c r="G46" s="98">
        <v>110000</v>
      </c>
      <c r="H46" s="17"/>
      <c r="I46" s="98">
        <v>110000</v>
      </c>
      <c r="J46" s="17"/>
      <c r="K46" s="98">
        <v>110000</v>
      </c>
      <c r="L46" s="71"/>
      <c r="M46" s="343">
        <v>100000</v>
      </c>
      <c r="N46" s="49"/>
      <c r="O46" s="384"/>
      <c r="P46" s="183"/>
      <c r="Q46" s="183"/>
    </row>
    <row r="47" spans="1:17" s="6" customFormat="1" ht="13.8" x14ac:dyDescent="0.25">
      <c r="A47" s="16" t="s">
        <v>418</v>
      </c>
      <c r="B47" s="16"/>
      <c r="C47" s="16"/>
      <c r="D47" s="16"/>
      <c r="E47" s="98">
        <v>66000</v>
      </c>
      <c r="F47" s="16"/>
      <c r="G47" s="98">
        <v>66000</v>
      </c>
      <c r="H47" s="17"/>
      <c r="I47" s="98">
        <v>66000</v>
      </c>
      <c r="J47" s="17"/>
      <c r="K47" s="98">
        <v>66000</v>
      </c>
      <c r="L47" s="71"/>
      <c r="M47" s="343">
        <v>66000</v>
      </c>
      <c r="N47" s="49"/>
      <c r="O47" s="384"/>
      <c r="P47" s="183"/>
      <c r="Q47" s="183"/>
    </row>
    <row r="48" spans="1:17" s="6" customFormat="1" ht="13.8" x14ac:dyDescent="0.25">
      <c r="A48" s="16" t="s">
        <v>544</v>
      </c>
      <c r="B48" s="16"/>
      <c r="C48" s="16"/>
      <c r="D48" s="16"/>
      <c r="E48" s="98">
        <v>29000</v>
      </c>
      <c r="F48" s="16"/>
      <c r="G48" s="98">
        <v>0</v>
      </c>
      <c r="H48" s="17"/>
      <c r="I48" s="98">
        <v>0</v>
      </c>
      <c r="J48" s="17"/>
      <c r="K48" s="98">
        <v>0</v>
      </c>
      <c r="L48" s="71"/>
      <c r="M48" s="343">
        <v>3153</v>
      </c>
      <c r="N48" s="49"/>
      <c r="O48" s="384"/>
      <c r="P48" s="183"/>
      <c r="Q48" s="183"/>
    </row>
    <row r="49" spans="1:17" s="6" customFormat="1" ht="13.8" x14ac:dyDescent="0.25">
      <c r="A49" s="16" t="s">
        <v>437</v>
      </c>
      <c r="B49" s="16"/>
      <c r="C49" s="16"/>
      <c r="D49" s="16"/>
      <c r="E49" s="98">
        <v>16970</v>
      </c>
      <c r="F49" s="16"/>
      <c r="G49" s="98">
        <v>23600</v>
      </c>
      <c r="H49" s="17"/>
      <c r="I49" s="98">
        <v>9712</v>
      </c>
      <c r="J49" s="17"/>
      <c r="K49" s="98">
        <v>23600</v>
      </c>
      <c r="L49" s="71"/>
      <c r="M49" s="343">
        <v>16643.48</v>
      </c>
      <c r="N49" s="49"/>
      <c r="O49" s="384"/>
      <c r="P49" s="183"/>
      <c r="Q49" s="183"/>
    </row>
    <row r="50" spans="1:17" s="6" customFormat="1" ht="13.8" x14ac:dyDescent="0.25">
      <c r="A50" s="16" t="s">
        <v>561</v>
      </c>
      <c r="B50" s="16"/>
      <c r="C50" s="16"/>
      <c r="D50" s="16"/>
      <c r="E50" s="98">
        <v>10000</v>
      </c>
      <c r="F50" s="16"/>
      <c r="G50" s="98">
        <v>10000</v>
      </c>
      <c r="H50" s="17"/>
      <c r="I50" s="98">
        <v>10000</v>
      </c>
      <c r="J50" s="17"/>
      <c r="K50" s="98">
        <v>10000</v>
      </c>
      <c r="L50" s="71"/>
      <c r="M50" s="344">
        <v>0</v>
      </c>
      <c r="N50" s="49"/>
      <c r="O50" s="384"/>
      <c r="P50" s="183"/>
      <c r="Q50" s="183"/>
    </row>
    <row r="51" spans="1:17" s="6" customFormat="1" ht="13.8" x14ac:dyDescent="0.25">
      <c r="A51" s="16" t="s">
        <v>649</v>
      </c>
      <c r="B51" s="16"/>
      <c r="C51" s="16"/>
      <c r="D51" s="16"/>
      <c r="E51" s="98">
        <v>8125</v>
      </c>
      <c r="F51" s="16"/>
      <c r="G51" s="98">
        <v>8125</v>
      </c>
      <c r="H51" s="17"/>
      <c r="I51" s="98">
        <v>8125</v>
      </c>
      <c r="J51" s="17"/>
      <c r="K51" s="98">
        <v>8125</v>
      </c>
      <c r="L51" s="71"/>
      <c r="M51" s="344">
        <v>0</v>
      </c>
      <c r="N51" s="49"/>
      <c r="O51" s="384"/>
      <c r="P51" s="183"/>
      <c r="Q51" s="183"/>
    </row>
    <row r="52" spans="1:17" s="6" customFormat="1" ht="14.4" thickBot="1" x14ac:dyDescent="0.3">
      <c r="A52" s="16"/>
      <c r="B52" s="16"/>
      <c r="C52" s="254"/>
      <c r="D52" s="254"/>
      <c r="E52" s="100">
        <f>SUM(E45:E51)</f>
        <v>526395</v>
      </c>
      <c r="F52" s="254"/>
      <c r="G52" s="100">
        <f>SUM(G45:G51)</f>
        <v>501140</v>
      </c>
      <c r="H52" s="17"/>
      <c r="I52" s="100">
        <f>SUM(I45:I51)</f>
        <v>487252</v>
      </c>
      <c r="J52" s="17"/>
      <c r="K52" s="100">
        <f>SUM(K45:K51)</f>
        <v>501140</v>
      </c>
      <c r="L52" s="63"/>
      <c r="M52" s="100">
        <f>SUM(M45:M51)</f>
        <v>469211.48</v>
      </c>
      <c r="N52" s="49"/>
      <c r="O52" s="384"/>
      <c r="P52" s="183"/>
      <c r="Q52" s="183"/>
    </row>
    <row r="53" spans="1:17" s="6" customFormat="1" ht="14.4" thickTop="1" x14ac:dyDescent="0.25">
      <c r="A53" s="16"/>
      <c r="B53" s="16"/>
      <c r="C53" s="16"/>
      <c r="D53" s="16"/>
      <c r="E53" s="99"/>
      <c r="F53" s="16"/>
      <c r="G53" s="99"/>
      <c r="H53" s="17"/>
      <c r="I53" s="99"/>
      <c r="J53" s="17"/>
      <c r="K53" s="99"/>
      <c r="L53" s="63"/>
      <c r="M53" s="99"/>
      <c r="N53" s="49"/>
      <c r="O53" s="384"/>
      <c r="P53" s="183"/>
      <c r="Q53" s="183"/>
    </row>
    <row r="54" spans="1:17" s="6" customFormat="1" ht="17.399999999999999" x14ac:dyDescent="0.35">
      <c r="A54" s="21" t="s">
        <v>278</v>
      </c>
      <c r="B54" s="89"/>
      <c r="C54" s="81"/>
      <c r="D54" s="81"/>
      <c r="E54" s="99"/>
      <c r="F54" s="81"/>
      <c r="G54" s="99"/>
      <c r="H54" s="81"/>
      <c r="I54" s="99"/>
      <c r="J54" s="81"/>
      <c r="K54" s="99"/>
      <c r="L54" s="88"/>
      <c r="M54" s="99"/>
      <c r="N54" s="49"/>
      <c r="O54" s="384"/>
      <c r="P54" s="183"/>
      <c r="Q54" s="183"/>
    </row>
    <row r="55" spans="1:17" s="6" customFormat="1" ht="13.8" x14ac:dyDescent="0.25">
      <c r="A55" s="16" t="s">
        <v>668</v>
      </c>
      <c r="B55" s="16"/>
      <c r="C55" s="55"/>
      <c r="D55" s="55"/>
      <c r="E55" s="99">
        <v>170250</v>
      </c>
      <c r="F55" s="55"/>
      <c r="G55" s="99">
        <v>170250</v>
      </c>
      <c r="H55" s="58"/>
      <c r="I55" s="99">
        <v>148250</v>
      </c>
      <c r="J55" s="58"/>
      <c r="K55" s="99">
        <v>148250</v>
      </c>
      <c r="L55" s="29"/>
      <c r="M55" s="344">
        <v>125695</v>
      </c>
      <c r="N55" s="49"/>
      <c r="O55" s="384"/>
      <c r="P55" s="183"/>
      <c r="Q55" s="183"/>
    </row>
    <row r="56" spans="1:17" s="6" customFormat="1" ht="13.8" x14ac:dyDescent="0.25">
      <c r="A56" s="16" t="s">
        <v>238</v>
      </c>
      <c r="B56" s="16"/>
      <c r="C56" s="229"/>
      <c r="D56" s="229"/>
      <c r="E56" s="99">
        <v>23200</v>
      </c>
      <c r="F56" s="229"/>
      <c r="G56" s="99">
        <v>18650</v>
      </c>
      <c r="H56" s="58"/>
      <c r="I56" s="99">
        <v>20285</v>
      </c>
      <c r="J56" s="58"/>
      <c r="K56" s="99">
        <v>18000</v>
      </c>
      <c r="L56" s="29"/>
      <c r="M56" s="344">
        <v>16358</v>
      </c>
      <c r="N56" s="49"/>
      <c r="O56" s="384"/>
      <c r="P56" s="183"/>
      <c r="Q56" s="183"/>
    </row>
    <row r="57" spans="1:17" s="6" customFormat="1" ht="13.8" x14ac:dyDescent="0.25">
      <c r="A57" s="16" t="s">
        <v>239</v>
      </c>
      <c r="B57" s="16"/>
      <c r="C57" s="58"/>
      <c r="D57" s="58"/>
      <c r="E57" s="117">
        <v>75000</v>
      </c>
      <c r="F57" s="58"/>
      <c r="G57" s="117">
        <v>58000</v>
      </c>
      <c r="H57" s="58"/>
      <c r="I57" s="117">
        <v>66780</v>
      </c>
      <c r="J57" s="58"/>
      <c r="K57" s="117">
        <v>55000</v>
      </c>
      <c r="L57" s="29"/>
      <c r="M57" s="264">
        <v>47381</v>
      </c>
      <c r="N57" s="49"/>
      <c r="O57" s="384"/>
      <c r="P57" s="183"/>
      <c r="Q57" s="183"/>
    </row>
    <row r="58" spans="1:17" s="6" customFormat="1" ht="14.4" thickBot="1" x14ac:dyDescent="0.3">
      <c r="A58" s="58"/>
      <c r="B58" s="58"/>
      <c r="C58" s="58"/>
      <c r="D58" s="58"/>
      <c r="E58" s="156">
        <f>SUM(E55:E57)</f>
        <v>268450</v>
      </c>
      <c r="F58" s="58"/>
      <c r="G58" s="156">
        <f>SUM(G55:G57)</f>
        <v>246900</v>
      </c>
      <c r="H58" s="58"/>
      <c r="I58" s="156">
        <f>SUM(I55:I57)</f>
        <v>235315</v>
      </c>
      <c r="J58" s="58"/>
      <c r="K58" s="156">
        <f>SUM(K55:K57)</f>
        <v>221250</v>
      </c>
      <c r="L58" s="49"/>
      <c r="M58" s="156">
        <f>SUM(M55:M57)</f>
        <v>189434</v>
      </c>
      <c r="N58" s="49"/>
      <c r="O58" s="384"/>
      <c r="P58" s="183"/>
      <c r="Q58" s="183"/>
    </row>
    <row r="59" spans="1:17" s="6" customFormat="1" ht="14.4" thickTop="1" x14ac:dyDescent="0.25">
      <c r="A59" s="58"/>
      <c r="B59" s="58"/>
      <c r="C59" s="58"/>
      <c r="D59" s="58"/>
      <c r="E59" s="97"/>
      <c r="F59" s="58"/>
      <c r="G59" s="97"/>
      <c r="H59" s="58"/>
      <c r="I59" s="97"/>
      <c r="J59" s="58"/>
      <c r="K59" s="97"/>
      <c r="L59" s="49"/>
      <c r="M59" s="97"/>
      <c r="N59" s="49"/>
      <c r="O59" s="384"/>
      <c r="P59" s="183"/>
      <c r="Q59" s="183"/>
    </row>
    <row r="60" spans="1:17" s="6" customFormat="1" ht="17.399999999999999" x14ac:dyDescent="0.35">
      <c r="A60" s="21" t="s">
        <v>280</v>
      </c>
      <c r="B60" s="89"/>
      <c r="C60" s="58"/>
      <c r="D60" s="58"/>
      <c r="E60" s="99"/>
      <c r="F60" s="58"/>
      <c r="G60" s="99"/>
      <c r="H60" s="58"/>
      <c r="I60" s="97"/>
      <c r="J60" s="58"/>
      <c r="K60" s="99"/>
      <c r="L60" s="49"/>
      <c r="M60" s="97"/>
      <c r="N60" s="49"/>
      <c r="O60" s="384"/>
      <c r="P60" s="183"/>
      <c r="Q60" s="183"/>
    </row>
    <row r="61" spans="1:17" s="6" customFormat="1" ht="13.8" x14ac:dyDescent="0.25">
      <c r="A61" s="16" t="s">
        <v>320</v>
      </c>
      <c r="B61" s="16"/>
      <c r="C61" s="58"/>
      <c r="D61" s="58"/>
      <c r="E61" s="99">
        <v>137200</v>
      </c>
      <c r="F61" s="58"/>
      <c r="G61" s="99">
        <v>137200</v>
      </c>
      <c r="H61" s="58"/>
      <c r="I61" s="99">
        <v>135035</v>
      </c>
      <c r="J61" s="58"/>
      <c r="K61" s="99">
        <v>134235</v>
      </c>
      <c r="L61" s="49"/>
      <c r="M61" s="97">
        <v>132005</v>
      </c>
      <c r="N61" s="49"/>
      <c r="O61" s="384"/>
      <c r="P61" s="183"/>
      <c r="Q61" s="183"/>
    </row>
    <row r="62" spans="1:17" s="6" customFormat="1" ht="13.8" x14ac:dyDescent="0.25">
      <c r="A62" s="16" t="s">
        <v>321</v>
      </c>
      <c r="B62" s="16"/>
      <c r="C62" s="58"/>
      <c r="D62" s="58"/>
      <c r="E62" s="99">
        <v>5000</v>
      </c>
      <c r="F62" s="58"/>
      <c r="G62" s="99">
        <v>9000</v>
      </c>
      <c r="H62" s="58"/>
      <c r="I62" s="99">
        <v>5000</v>
      </c>
      <c r="J62" s="58"/>
      <c r="K62" s="99">
        <v>9000</v>
      </c>
      <c r="L62" s="49"/>
      <c r="M62" s="97">
        <v>5375</v>
      </c>
      <c r="N62" s="49"/>
      <c r="O62" s="384"/>
      <c r="P62" s="183"/>
      <c r="Q62" s="183"/>
    </row>
    <row r="63" spans="1:17" s="6" customFormat="1" ht="13.8" x14ac:dyDescent="0.25">
      <c r="A63" s="16" t="s">
        <v>712</v>
      </c>
      <c r="B63" s="16"/>
      <c r="C63" s="58"/>
      <c r="D63" s="58"/>
      <c r="E63" s="371">
        <v>0</v>
      </c>
      <c r="F63" s="58"/>
      <c r="G63" s="117">
        <v>10200</v>
      </c>
      <c r="H63" s="58"/>
      <c r="I63" s="117">
        <v>10200</v>
      </c>
      <c r="J63" s="58"/>
      <c r="K63" s="117">
        <v>10200</v>
      </c>
      <c r="L63" s="49"/>
      <c r="M63" s="157">
        <v>0</v>
      </c>
      <c r="N63" s="49"/>
      <c r="O63" s="384"/>
      <c r="P63" s="183"/>
      <c r="Q63" s="183"/>
    </row>
    <row r="64" spans="1:17" s="6" customFormat="1" ht="14.4" thickBot="1" x14ac:dyDescent="0.3">
      <c r="A64" s="58"/>
      <c r="B64" s="58"/>
      <c r="C64" s="58"/>
      <c r="D64" s="58"/>
      <c r="E64" s="116">
        <f>SUM(E61:E63)</f>
        <v>142200</v>
      </c>
      <c r="F64" s="58"/>
      <c r="G64" s="116">
        <f>SUM(G61:G63)</f>
        <v>156400</v>
      </c>
      <c r="H64" s="58"/>
      <c r="I64" s="116">
        <f>SUM(I61:I63)</f>
        <v>150235</v>
      </c>
      <c r="J64" s="58"/>
      <c r="K64" s="116">
        <f>SUM(K61:K63)</f>
        <v>153435</v>
      </c>
      <c r="L64" s="49"/>
      <c r="M64" s="158">
        <f>SUM(M61:M63)</f>
        <v>137380</v>
      </c>
      <c r="N64" s="49"/>
      <c r="O64" s="384"/>
      <c r="P64" s="183"/>
      <c r="Q64" s="183"/>
    </row>
    <row r="65" spans="1:17" s="6" customFormat="1" ht="14.4" thickTop="1" x14ac:dyDescent="0.25">
      <c r="A65" s="58"/>
      <c r="B65" s="58"/>
      <c r="C65" s="58"/>
      <c r="D65" s="58"/>
      <c r="E65" s="99"/>
      <c r="F65" s="58"/>
      <c r="G65" s="99"/>
      <c r="H65" s="58"/>
      <c r="I65" s="99"/>
      <c r="J65" s="58"/>
      <c r="K65" s="99"/>
      <c r="L65" s="49"/>
      <c r="M65" s="97"/>
      <c r="N65" s="99"/>
      <c r="O65" s="384"/>
      <c r="P65" s="183"/>
      <c r="Q65" s="183"/>
    </row>
    <row r="66" spans="1:17" s="6" customFormat="1" ht="16.2" x14ac:dyDescent="0.35">
      <c r="A66" s="21" t="s">
        <v>390</v>
      </c>
      <c r="B66" s="58"/>
      <c r="C66" s="58"/>
      <c r="D66" s="58"/>
      <c r="E66" s="99"/>
      <c r="F66" s="58"/>
      <c r="G66" s="99"/>
      <c r="H66" s="58"/>
      <c r="I66" s="99"/>
      <c r="J66" s="58"/>
      <c r="K66" s="99"/>
      <c r="L66" s="49"/>
      <c r="M66" s="97"/>
      <c r="N66" s="99"/>
      <c r="O66" s="384"/>
      <c r="P66" s="183"/>
      <c r="Q66" s="183"/>
    </row>
    <row r="67" spans="1:17" s="6" customFormat="1" ht="13.8" x14ac:dyDescent="0.25">
      <c r="A67" s="16" t="s">
        <v>391</v>
      </c>
      <c r="B67" s="58"/>
      <c r="C67" s="58"/>
      <c r="D67" s="58"/>
      <c r="E67" s="97">
        <v>32800</v>
      </c>
      <c r="F67" s="58"/>
      <c r="G67" s="97">
        <v>36000</v>
      </c>
      <c r="H67" s="58"/>
      <c r="I67" s="97">
        <v>37100</v>
      </c>
      <c r="J67" s="58"/>
      <c r="K67" s="97">
        <v>36000</v>
      </c>
      <c r="L67" s="49"/>
      <c r="M67" s="345">
        <v>32400</v>
      </c>
      <c r="N67" s="97"/>
      <c r="O67" s="384"/>
      <c r="P67" s="183"/>
      <c r="Q67" s="183"/>
    </row>
    <row r="68" spans="1:17" s="6" customFormat="1" ht="13.8" x14ac:dyDescent="0.25">
      <c r="A68" s="16" t="s">
        <v>404</v>
      </c>
      <c r="B68" s="58"/>
      <c r="C68" s="58"/>
      <c r="D68" s="58"/>
      <c r="E68" s="97">
        <v>11200</v>
      </c>
      <c r="F68" s="58"/>
      <c r="G68" s="97">
        <v>11200</v>
      </c>
      <c r="H68" s="58"/>
      <c r="I68" s="97">
        <v>0</v>
      </c>
      <c r="J68" s="58"/>
      <c r="K68" s="97">
        <v>11200</v>
      </c>
      <c r="L68" s="49"/>
      <c r="M68" s="345">
        <v>11200</v>
      </c>
      <c r="N68" s="97"/>
      <c r="O68" s="384"/>
      <c r="P68" s="183"/>
      <c r="Q68" s="183"/>
    </row>
    <row r="69" spans="1:17" s="6" customFormat="1" ht="13.8" x14ac:dyDescent="0.25">
      <c r="A69" s="16" t="s">
        <v>419</v>
      </c>
      <c r="B69" s="58"/>
      <c r="C69" s="58"/>
      <c r="D69" s="58"/>
      <c r="E69" s="157">
        <v>25045</v>
      </c>
      <c r="F69" s="58"/>
      <c r="G69" s="157">
        <v>12000</v>
      </c>
      <c r="H69" s="58"/>
      <c r="I69" s="157">
        <v>13556</v>
      </c>
      <c r="J69" s="58"/>
      <c r="K69" s="157">
        <v>12000</v>
      </c>
      <c r="L69" s="49"/>
      <c r="M69" s="346">
        <v>12184</v>
      </c>
      <c r="N69" s="97"/>
      <c r="O69" s="384"/>
      <c r="P69" s="183"/>
      <c r="Q69" s="183"/>
    </row>
    <row r="70" spans="1:17" s="6" customFormat="1" ht="14.4" thickBot="1" x14ac:dyDescent="0.3">
      <c r="A70" s="16"/>
      <c r="B70" s="58"/>
      <c r="C70" s="58"/>
      <c r="D70" s="58"/>
      <c r="E70" s="156">
        <f>SUM(E67:E69)</f>
        <v>69045</v>
      </c>
      <c r="F70" s="58"/>
      <c r="G70" s="156">
        <f>SUM(G67:G69)</f>
        <v>59200</v>
      </c>
      <c r="H70" s="58"/>
      <c r="I70" s="156">
        <f>SUM(I67:I69)</f>
        <v>50656</v>
      </c>
      <c r="J70" s="58"/>
      <c r="K70" s="156">
        <f>SUM(K67:K69)</f>
        <v>59200</v>
      </c>
      <c r="L70" s="49"/>
      <c r="M70" s="156">
        <f>SUM(M67:M69)</f>
        <v>55784</v>
      </c>
      <c r="N70" s="97"/>
      <c r="O70" s="384"/>
      <c r="P70" s="183"/>
      <c r="Q70" s="183"/>
    </row>
    <row r="71" spans="1:17" s="6" customFormat="1" ht="14.4" thickTop="1" x14ac:dyDescent="0.25">
      <c r="A71" s="58"/>
      <c r="B71" s="58"/>
      <c r="C71" s="58"/>
      <c r="D71" s="58"/>
      <c r="E71" s="99"/>
      <c r="F71" s="58"/>
      <c r="G71" s="99"/>
      <c r="H71" s="58"/>
      <c r="I71" s="99"/>
      <c r="J71" s="58"/>
      <c r="K71" s="99"/>
      <c r="L71" s="49"/>
      <c r="M71" s="97"/>
      <c r="N71" s="99"/>
      <c r="O71" s="384"/>
      <c r="P71" s="183"/>
      <c r="Q71" s="183"/>
    </row>
    <row r="72" spans="1:17" s="6" customFormat="1" ht="17.399999999999999" x14ac:dyDescent="0.35">
      <c r="A72" s="21" t="s">
        <v>322</v>
      </c>
      <c r="B72" s="89"/>
      <c r="C72" s="58"/>
      <c r="D72" s="58"/>
      <c r="E72" s="99"/>
      <c r="F72" s="58"/>
      <c r="G72" s="99"/>
      <c r="H72" s="58"/>
      <c r="I72" s="99"/>
      <c r="J72" s="58"/>
      <c r="K72" s="99"/>
      <c r="L72" s="49"/>
      <c r="M72" s="97"/>
      <c r="N72" s="99"/>
      <c r="O72" s="384"/>
      <c r="P72" s="183"/>
      <c r="Q72" s="183"/>
    </row>
    <row r="73" spans="1:17" s="6" customFormat="1" ht="13.8" x14ac:dyDescent="0.25">
      <c r="A73" s="16" t="s">
        <v>54</v>
      </c>
      <c r="B73" s="16"/>
      <c r="C73" s="58"/>
      <c r="D73" s="58"/>
      <c r="E73" s="97">
        <v>2500</v>
      </c>
      <c r="F73" s="58"/>
      <c r="G73" s="97">
        <v>2500</v>
      </c>
      <c r="H73" s="58"/>
      <c r="I73" s="97">
        <v>2500</v>
      </c>
      <c r="J73" s="58"/>
      <c r="K73" s="97">
        <v>2500</v>
      </c>
      <c r="L73" s="97"/>
      <c r="M73" s="97">
        <v>0</v>
      </c>
      <c r="N73" s="99"/>
      <c r="O73" s="384"/>
      <c r="P73" s="183"/>
      <c r="Q73" s="183"/>
    </row>
    <row r="74" spans="1:17" s="6" customFormat="1" ht="13.8" x14ac:dyDescent="0.25">
      <c r="A74" s="16" t="s">
        <v>650</v>
      </c>
      <c r="B74" s="16"/>
      <c r="C74" s="58"/>
      <c r="D74" s="58"/>
      <c r="E74" s="97">
        <v>10000</v>
      </c>
      <c r="F74" s="58"/>
      <c r="G74" s="97">
        <v>10000</v>
      </c>
      <c r="H74" s="58"/>
      <c r="I74" s="97">
        <v>10000</v>
      </c>
      <c r="J74" s="58"/>
      <c r="K74" s="97">
        <v>10000</v>
      </c>
      <c r="L74" s="97"/>
      <c r="M74" s="97">
        <f>10000-0.4</f>
        <v>9999.6</v>
      </c>
      <c r="N74" s="99"/>
      <c r="O74" s="384"/>
      <c r="P74" s="183"/>
      <c r="Q74" s="183"/>
    </row>
    <row r="75" spans="1:17" s="6" customFormat="1" ht="13.8" x14ac:dyDescent="0.25">
      <c r="A75" s="16" t="s">
        <v>651</v>
      </c>
      <c r="B75" s="16"/>
      <c r="C75" s="58"/>
      <c r="D75" s="58"/>
      <c r="E75" s="97">
        <v>30250</v>
      </c>
      <c r="F75" s="58"/>
      <c r="G75" s="97">
        <v>31000</v>
      </c>
      <c r="H75" s="58"/>
      <c r="I75" s="97">
        <v>20000</v>
      </c>
      <c r="J75" s="58"/>
      <c r="K75" s="97">
        <v>20000</v>
      </c>
      <c r="L75" s="97"/>
      <c r="M75" s="97">
        <f>5961.43+4133-0.4</f>
        <v>10094.030000000001</v>
      </c>
      <c r="N75" s="348"/>
      <c r="O75" s="384"/>
      <c r="P75" s="183"/>
      <c r="Q75" s="183"/>
    </row>
    <row r="76" spans="1:17" s="6" customFormat="1" ht="13.8" x14ac:dyDescent="0.25">
      <c r="A76" s="16" t="s">
        <v>522</v>
      </c>
      <c r="B76" s="16"/>
      <c r="C76" s="58"/>
      <c r="D76" s="58"/>
      <c r="E76" s="97">
        <v>42500</v>
      </c>
      <c r="F76" s="58"/>
      <c r="G76" s="97">
        <v>42500</v>
      </c>
      <c r="H76" s="58"/>
      <c r="I76" s="97">
        <v>42500</v>
      </c>
      <c r="J76" s="58"/>
      <c r="K76" s="97">
        <v>45000</v>
      </c>
      <c r="L76" s="97"/>
      <c r="M76" s="97">
        <v>45000</v>
      </c>
      <c r="N76" s="99"/>
      <c r="O76" s="384"/>
      <c r="P76" s="183"/>
      <c r="Q76" s="183"/>
    </row>
    <row r="77" spans="1:17" s="6" customFormat="1" ht="13.8" x14ac:dyDescent="0.25">
      <c r="A77" s="16" t="s">
        <v>523</v>
      </c>
      <c r="B77" s="16"/>
      <c r="C77" s="58"/>
      <c r="D77" s="58"/>
      <c r="E77" s="97">
        <v>26160</v>
      </c>
      <c r="F77" s="58"/>
      <c r="G77" s="97">
        <v>26160</v>
      </c>
      <c r="H77" s="58"/>
      <c r="I77" s="97">
        <v>26160</v>
      </c>
      <c r="J77" s="58"/>
      <c r="K77" s="97">
        <v>26160</v>
      </c>
      <c r="L77" s="97"/>
      <c r="M77" s="97">
        <v>26160</v>
      </c>
      <c r="N77" s="99"/>
      <c r="O77" s="384"/>
      <c r="P77" s="183"/>
      <c r="Q77" s="183"/>
    </row>
    <row r="78" spans="1:17" s="6" customFormat="1" ht="13.8" x14ac:dyDescent="0.25">
      <c r="A78" s="16" t="s">
        <v>524</v>
      </c>
      <c r="B78" s="23"/>
      <c r="C78" s="60"/>
      <c r="D78" s="60"/>
      <c r="E78" s="97">
        <v>8500</v>
      </c>
      <c r="F78" s="60"/>
      <c r="G78" s="97">
        <v>8500</v>
      </c>
      <c r="H78" s="60"/>
      <c r="I78" s="97">
        <v>8500</v>
      </c>
      <c r="J78" s="60"/>
      <c r="K78" s="97">
        <v>8500</v>
      </c>
      <c r="L78" s="97"/>
      <c r="M78" s="97">
        <v>8500</v>
      </c>
      <c r="N78" s="99"/>
      <c r="O78" s="384"/>
      <c r="P78" s="183"/>
      <c r="Q78" s="183"/>
    </row>
    <row r="79" spans="1:17" s="6" customFormat="1" ht="13.8" x14ac:dyDescent="0.25">
      <c r="A79" s="16" t="s">
        <v>563</v>
      </c>
      <c r="B79" s="16"/>
      <c r="C79" s="58"/>
      <c r="D79" s="58"/>
      <c r="E79" s="97">
        <v>10545</v>
      </c>
      <c r="F79" s="58"/>
      <c r="G79" s="97">
        <v>9000</v>
      </c>
      <c r="H79" s="58"/>
      <c r="I79" s="97">
        <v>9000</v>
      </c>
      <c r="J79" s="58"/>
      <c r="K79" s="97">
        <v>9000</v>
      </c>
      <c r="L79" s="97"/>
      <c r="M79" s="97">
        <v>4132.2299999999996</v>
      </c>
      <c r="N79" s="99"/>
      <c r="O79" s="384"/>
      <c r="P79" s="183"/>
      <c r="Q79" s="183"/>
    </row>
    <row r="80" spans="1:17" s="6" customFormat="1" ht="13.8" x14ac:dyDescent="0.25">
      <c r="A80" s="16" t="s">
        <v>652</v>
      </c>
      <c r="B80" s="16"/>
      <c r="C80" s="58"/>
      <c r="D80" s="58"/>
      <c r="E80" s="97">
        <v>0</v>
      </c>
      <c r="F80" s="58"/>
      <c r="G80" s="97">
        <v>0</v>
      </c>
      <c r="H80" s="58"/>
      <c r="I80" s="97">
        <v>0</v>
      </c>
      <c r="J80" s="58"/>
      <c r="K80" s="97">
        <v>23504</v>
      </c>
      <c r="L80" s="97"/>
      <c r="M80" s="97">
        <v>22703.84</v>
      </c>
      <c r="N80" s="99"/>
      <c r="O80" s="384"/>
      <c r="P80" s="183"/>
      <c r="Q80" s="183"/>
    </row>
    <row r="81" spans="1:17" s="6" customFormat="1" ht="13.8" x14ac:dyDescent="0.25">
      <c r="A81" s="16" t="s">
        <v>653</v>
      </c>
      <c r="B81" s="16"/>
      <c r="C81" s="58"/>
      <c r="D81" s="58"/>
      <c r="E81" s="97">
        <v>15675</v>
      </c>
      <c r="F81" s="58"/>
      <c r="G81" s="97">
        <v>22500</v>
      </c>
      <c r="H81" s="58"/>
      <c r="I81" s="97">
        <v>20500</v>
      </c>
      <c r="J81" s="58"/>
      <c r="K81" s="97">
        <v>20500</v>
      </c>
      <c r="L81" s="97"/>
      <c r="M81" s="97">
        <v>18990</v>
      </c>
      <c r="N81" s="348"/>
      <c r="O81" s="384"/>
      <c r="P81" s="183"/>
      <c r="Q81" s="183"/>
    </row>
    <row r="82" spans="1:17" s="6" customFormat="1" ht="13.8" x14ac:dyDescent="0.25">
      <c r="A82" s="16" t="s">
        <v>281</v>
      </c>
      <c r="B82" s="16"/>
      <c r="C82" s="58"/>
      <c r="D82" s="58"/>
      <c r="E82" s="157">
        <v>1500</v>
      </c>
      <c r="F82" s="58"/>
      <c r="G82" s="157">
        <v>1500</v>
      </c>
      <c r="H82" s="58"/>
      <c r="I82" s="157">
        <v>1500</v>
      </c>
      <c r="J82" s="58"/>
      <c r="K82" s="157">
        <v>1500</v>
      </c>
      <c r="L82" s="97"/>
      <c r="M82" s="157">
        <v>443.47000000000116</v>
      </c>
      <c r="N82" s="99"/>
      <c r="O82" s="384"/>
      <c r="P82" s="183"/>
      <c r="Q82" s="183"/>
    </row>
    <row r="83" spans="1:17" s="6" customFormat="1" ht="14.4" thickBot="1" x14ac:dyDescent="0.3">
      <c r="A83" s="58"/>
      <c r="B83" s="58"/>
      <c r="C83" s="58"/>
      <c r="D83" s="58"/>
      <c r="E83" s="158">
        <f>SUM(E73:E82)</f>
        <v>147630</v>
      </c>
      <c r="F83" s="58"/>
      <c r="G83" s="158">
        <f>SUM(G73:G82)</f>
        <v>153660</v>
      </c>
      <c r="H83" s="58"/>
      <c r="I83" s="158">
        <f>SUM(I73:I82)</f>
        <v>140660</v>
      </c>
      <c r="J83" s="58"/>
      <c r="K83" s="158">
        <f>SUM(K73:K82)</f>
        <v>166664</v>
      </c>
      <c r="L83" s="97"/>
      <c r="M83" s="158">
        <f>SUM(M73:M82)</f>
        <v>146023.17000000001</v>
      </c>
      <c r="N83" s="99"/>
      <c r="O83" s="384"/>
      <c r="P83" s="183"/>
      <c r="Q83" s="183"/>
    </row>
    <row r="84" spans="1:17" s="6" customFormat="1" ht="14.4" thickTop="1" x14ac:dyDescent="0.25">
      <c r="A84" s="58"/>
      <c r="B84" s="58"/>
      <c r="C84" s="58"/>
      <c r="D84" s="58"/>
      <c r="E84" s="99"/>
      <c r="F84" s="58"/>
      <c r="G84" s="99"/>
      <c r="H84" s="58"/>
      <c r="I84" s="99"/>
      <c r="J84" s="58"/>
      <c r="K84" s="99"/>
      <c r="L84" s="49"/>
      <c r="M84" s="97"/>
      <c r="N84" s="99"/>
      <c r="O84" s="384"/>
      <c r="P84" s="183"/>
      <c r="Q84" s="183"/>
    </row>
    <row r="85" spans="1:17" s="6" customFormat="1" ht="17.399999999999999" x14ac:dyDescent="0.35">
      <c r="A85" s="21" t="s">
        <v>268</v>
      </c>
      <c r="B85" s="89"/>
      <c r="C85" s="58"/>
      <c r="D85" s="58"/>
      <c r="E85" s="99"/>
      <c r="F85" s="58"/>
      <c r="G85" s="99"/>
      <c r="H85" s="58"/>
      <c r="I85" s="99"/>
      <c r="J85" s="58"/>
      <c r="K85" s="99"/>
      <c r="L85" s="49"/>
      <c r="M85" s="97"/>
      <c r="N85" s="99"/>
      <c r="O85" s="384"/>
      <c r="P85" s="183"/>
      <c r="Q85" s="183"/>
    </row>
    <row r="86" spans="1:17" s="6" customFormat="1" ht="13.8" x14ac:dyDescent="0.25">
      <c r="A86" s="16" t="s">
        <v>270</v>
      </c>
      <c r="B86" s="16"/>
      <c r="C86" s="58"/>
      <c r="D86" s="58"/>
      <c r="E86" s="97">
        <v>936500</v>
      </c>
      <c r="F86" s="58"/>
      <c r="G86" s="97">
        <v>937500</v>
      </c>
      <c r="H86" s="58"/>
      <c r="I86" s="97">
        <v>909000</v>
      </c>
      <c r="J86" s="58"/>
      <c r="K86" s="97">
        <v>894000</v>
      </c>
      <c r="L86" s="97"/>
      <c r="M86" s="97">
        <v>783885</v>
      </c>
      <c r="N86" s="99"/>
      <c r="O86" s="384"/>
      <c r="P86" s="183"/>
      <c r="Q86" s="183"/>
    </row>
    <row r="87" spans="1:17" s="6" customFormat="1" ht="13.8" x14ac:dyDescent="0.25">
      <c r="A87" s="23" t="s">
        <v>654</v>
      </c>
      <c r="B87" s="23"/>
      <c r="C87" s="60"/>
      <c r="D87" s="60"/>
      <c r="E87" s="97">
        <v>245000</v>
      </c>
      <c r="F87" s="58"/>
      <c r="G87" s="97">
        <v>256000</v>
      </c>
      <c r="H87" s="58"/>
      <c r="I87" s="97">
        <v>235000</v>
      </c>
      <c r="J87" s="58"/>
      <c r="K87" s="97">
        <v>245000</v>
      </c>
      <c r="L87" s="97"/>
      <c r="M87" s="97">
        <v>204531.11000000002</v>
      </c>
      <c r="N87" s="99"/>
      <c r="O87" s="384"/>
      <c r="P87" s="183"/>
      <c r="Q87" s="183"/>
    </row>
    <row r="88" spans="1:17" s="6" customFormat="1" ht="13.8" x14ac:dyDescent="0.25">
      <c r="A88" s="16" t="s">
        <v>323</v>
      </c>
      <c r="B88" s="16"/>
      <c r="C88" s="58"/>
      <c r="D88" s="58"/>
      <c r="E88" s="97">
        <v>49000</v>
      </c>
      <c r="F88" s="58"/>
      <c r="G88" s="97">
        <v>49000</v>
      </c>
      <c r="H88" s="58"/>
      <c r="I88" s="97">
        <v>45540</v>
      </c>
      <c r="J88" s="58"/>
      <c r="K88" s="97">
        <v>36000</v>
      </c>
      <c r="L88" s="97"/>
      <c r="M88" s="97">
        <v>32039</v>
      </c>
      <c r="N88" s="99"/>
      <c r="O88" s="384"/>
      <c r="P88" s="183"/>
      <c r="Q88" s="183"/>
    </row>
    <row r="89" spans="1:17" s="6" customFormat="1" ht="13.8" x14ac:dyDescent="0.25">
      <c r="A89" s="16" t="s">
        <v>264</v>
      </c>
      <c r="B89" s="16"/>
      <c r="C89" s="58"/>
      <c r="D89" s="58"/>
      <c r="E89" s="97">
        <v>22000</v>
      </c>
      <c r="F89" s="58"/>
      <c r="G89" s="97">
        <v>22000</v>
      </c>
      <c r="H89" s="58"/>
      <c r="I89" s="97">
        <v>22000</v>
      </c>
      <c r="J89" s="58"/>
      <c r="K89" s="97">
        <v>22000</v>
      </c>
      <c r="L89" s="97"/>
      <c r="M89" s="97">
        <v>21625</v>
      </c>
      <c r="N89" s="99"/>
      <c r="O89" s="384"/>
      <c r="P89" s="183"/>
      <c r="Q89" s="183"/>
    </row>
    <row r="90" spans="1:17" s="6" customFormat="1" ht="13.8" x14ac:dyDescent="0.25">
      <c r="A90" s="23" t="s">
        <v>487</v>
      </c>
      <c r="B90" s="16"/>
      <c r="C90" s="58"/>
      <c r="D90" s="58"/>
      <c r="E90" s="97">
        <v>6500</v>
      </c>
      <c r="F90" s="58"/>
      <c r="G90" s="97">
        <v>6500</v>
      </c>
      <c r="H90" s="58"/>
      <c r="I90" s="97">
        <v>2239</v>
      </c>
      <c r="J90" s="58"/>
      <c r="K90" s="97">
        <v>6500</v>
      </c>
      <c r="L90" s="97"/>
      <c r="M90" s="97">
        <v>29847.66</v>
      </c>
      <c r="N90" s="99"/>
      <c r="O90" s="384"/>
      <c r="P90" s="183"/>
      <c r="Q90" s="183"/>
    </row>
    <row r="91" spans="1:17" s="6" customFormat="1" ht="13.8" x14ac:dyDescent="0.25">
      <c r="A91" s="23" t="s">
        <v>271</v>
      </c>
      <c r="B91" s="16"/>
      <c r="C91" s="58"/>
      <c r="D91" s="58"/>
      <c r="E91" s="157">
        <v>3000</v>
      </c>
      <c r="F91" s="58"/>
      <c r="G91" s="157">
        <v>3000</v>
      </c>
      <c r="H91" s="58"/>
      <c r="I91" s="157">
        <v>3000</v>
      </c>
      <c r="J91" s="58"/>
      <c r="K91" s="157">
        <v>3000</v>
      </c>
      <c r="L91" s="97"/>
      <c r="M91" s="157">
        <v>3279</v>
      </c>
      <c r="N91" s="99"/>
      <c r="O91" s="384"/>
      <c r="P91" s="183"/>
      <c r="Q91" s="183"/>
    </row>
    <row r="92" spans="1:17" s="6" customFormat="1" ht="13.8" x14ac:dyDescent="0.25">
      <c r="A92" s="16"/>
      <c r="B92" s="16"/>
      <c r="C92" s="55"/>
      <c r="D92" s="55"/>
      <c r="E92" s="97">
        <f>SUM(E86:E91)</f>
        <v>1262000</v>
      </c>
      <c r="F92" s="55"/>
      <c r="G92" s="97">
        <f>SUM(G86:G91)</f>
        <v>1274000</v>
      </c>
      <c r="H92" s="58"/>
      <c r="I92" s="97">
        <f>SUM(I86:I91)</f>
        <v>1216779</v>
      </c>
      <c r="J92" s="58"/>
      <c r="K92" s="97">
        <f>SUM(K86:K91)</f>
        <v>1206500</v>
      </c>
      <c r="L92" s="97"/>
      <c r="M92" s="97">
        <f>SUM(M86:M91)</f>
        <v>1075206.77</v>
      </c>
      <c r="N92" s="99"/>
      <c r="O92" s="384"/>
      <c r="P92" s="183"/>
      <c r="Q92" s="183"/>
    </row>
    <row r="93" spans="1:17" s="6" customFormat="1" ht="13.8" x14ac:dyDescent="0.25">
      <c r="A93" s="16"/>
      <c r="B93" s="16"/>
      <c r="C93" s="55"/>
      <c r="D93" s="55"/>
      <c r="E93" s="97"/>
      <c r="F93" s="55"/>
      <c r="G93" s="97"/>
      <c r="H93" s="58"/>
      <c r="I93" s="97"/>
      <c r="J93" s="58"/>
      <c r="K93" s="97"/>
      <c r="L93" s="97"/>
      <c r="M93" s="97"/>
      <c r="N93" s="99"/>
      <c r="O93" s="384"/>
      <c r="P93" s="183"/>
      <c r="Q93" s="183"/>
    </row>
    <row r="94" spans="1:17" s="6" customFormat="1" ht="13.8" x14ac:dyDescent="0.25">
      <c r="A94" s="80" t="s">
        <v>608</v>
      </c>
      <c r="B94" s="16"/>
      <c r="C94" s="55"/>
      <c r="D94" s="55"/>
      <c r="E94" s="97"/>
      <c r="F94" s="55"/>
      <c r="G94" s="97"/>
      <c r="H94" s="58"/>
      <c r="I94" s="97"/>
      <c r="J94" s="58"/>
      <c r="K94" s="97"/>
      <c r="L94" s="97"/>
      <c r="M94" s="97"/>
      <c r="N94" s="99"/>
      <c r="O94" s="384"/>
      <c r="P94" s="183"/>
      <c r="Q94" s="183"/>
    </row>
    <row r="95" spans="1:17" s="6" customFormat="1" ht="13.8" x14ac:dyDescent="0.25">
      <c r="A95" s="16" t="s">
        <v>609</v>
      </c>
      <c r="B95" s="16"/>
      <c r="C95" s="55"/>
      <c r="D95" s="55"/>
      <c r="E95" s="97">
        <v>-271500</v>
      </c>
      <c r="F95" s="55"/>
      <c r="G95" s="97">
        <v>-271500</v>
      </c>
      <c r="H95" s="58"/>
      <c r="I95" s="97">
        <v>-264500</v>
      </c>
      <c r="J95" s="58"/>
      <c r="K95" s="97">
        <v>-260000</v>
      </c>
      <c r="L95" s="97"/>
      <c r="M95" s="97">
        <v>-222714</v>
      </c>
      <c r="N95" s="99"/>
      <c r="O95" s="384"/>
      <c r="P95" s="183"/>
      <c r="Q95" s="183"/>
    </row>
    <row r="96" spans="1:17" s="6" customFormat="1" ht="13.8" x14ac:dyDescent="0.25">
      <c r="A96" s="23" t="s">
        <v>610</v>
      </c>
      <c r="B96" s="23"/>
      <c r="C96" s="81"/>
      <c r="D96" s="81"/>
      <c r="E96" s="97">
        <v>-285500</v>
      </c>
      <c r="F96" s="55"/>
      <c r="G96" s="97">
        <v>-298000</v>
      </c>
      <c r="H96" s="58"/>
      <c r="I96" s="97">
        <v>-285500</v>
      </c>
      <c r="J96" s="58"/>
      <c r="K96" s="97">
        <v>-272500</v>
      </c>
      <c r="L96" s="97"/>
      <c r="M96" s="97">
        <v>-261797</v>
      </c>
      <c r="N96" s="99"/>
      <c r="O96" s="384"/>
      <c r="P96" s="183"/>
      <c r="Q96" s="183"/>
    </row>
    <row r="97" spans="1:17" s="6" customFormat="1" ht="13.8" x14ac:dyDescent="0.25">
      <c r="A97" s="16" t="s">
        <v>611</v>
      </c>
      <c r="B97" s="16"/>
      <c r="C97" s="55"/>
      <c r="D97" s="55"/>
      <c r="E97" s="97">
        <v>-102000</v>
      </c>
      <c r="F97" s="55"/>
      <c r="G97" s="97">
        <v>-102500</v>
      </c>
      <c r="H97" s="58"/>
      <c r="I97" s="97">
        <v>-98500</v>
      </c>
      <c r="J97" s="58"/>
      <c r="K97" s="97">
        <v>-98500</v>
      </c>
      <c r="L97" s="97"/>
      <c r="M97" s="97">
        <v>-61440</v>
      </c>
      <c r="N97" s="99"/>
      <c r="O97" s="384"/>
      <c r="P97" s="183"/>
      <c r="Q97" s="183"/>
    </row>
    <row r="98" spans="1:17" s="6" customFormat="1" ht="13.8" x14ac:dyDescent="0.25">
      <c r="A98" s="16" t="s">
        <v>612</v>
      </c>
      <c r="B98" s="16"/>
      <c r="C98" s="55"/>
      <c r="D98" s="55"/>
      <c r="E98" s="97">
        <v>-30000</v>
      </c>
      <c r="F98" s="55"/>
      <c r="G98" s="97">
        <v>-29500</v>
      </c>
      <c r="H98" s="58"/>
      <c r="I98" s="97">
        <v>-28500</v>
      </c>
      <c r="J98" s="58"/>
      <c r="K98" s="97">
        <v>-28500</v>
      </c>
      <c r="L98" s="97"/>
      <c r="M98" s="97">
        <v>-28306</v>
      </c>
      <c r="N98" s="99"/>
      <c r="O98" s="384"/>
      <c r="P98" s="183"/>
      <c r="Q98" s="183"/>
    </row>
    <row r="99" spans="1:17" s="6" customFormat="1" ht="13.8" x14ac:dyDescent="0.25">
      <c r="A99" s="16" t="s">
        <v>613</v>
      </c>
      <c r="B99" s="16"/>
      <c r="C99" s="55"/>
      <c r="D99" s="55"/>
      <c r="E99" s="97">
        <v>-25000</v>
      </c>
      <c r="F99" s="55"/>
      <c r="G99" s="97">
        <v>-41000</v>
      </c>
      <c r="H99" s="58"/>
      <c r="I99" s="97">
        <v>-34585</v>
      </c>
      <c r="J99" s="58"/>
      <c r="K99" s="97">
        <v>-39500</v>
      </c>
      <c r="L99" s="97"/>
      <c r="M99" s="97">
        <v>-29709</v>
      </c>
      <c r="N99" s="99"/>
      <c r="O99" s="384"/>
      <c r="P99" s="183"/>
      <c r="Q99" s="183"/>
    </row>
    <row r="100" spans="1:17" s="6" customFormat="1" ht="13.8" x14ac:dyDescent="0.25">
      <c r="A100" s="16" t="s">
        <v>655</v>
      </c>
      <c r="B100" s="16"/>
      <c r="C100" s="55"/>
      <c r="D100" s="55"/>
      <c r="E100" s="97">
        <v>-20000</v>
      </c>
      <c r="F100" s="55"/>
      <c r="G100" s="97">
        <v>-19500</v>
      </c>
      <c r="H100" s="58"/>
      <c r="I100" s="97">
        <f>-19500-0.4</f>
        <v>-19500.400000000001</v>
      </c>
      <c r="J100" s="58"/>
      <c r="K100" s="97">
        <v>-19000</v>
      </c>
      <c r="L100" s="97"/>
      <c r="M100" s="97">
        <v>0</v>
      </c>
      <c r="N100" s="99"/>
      <c r="O100" s="384"/>
      <c r="P100" s="183"/>
      <c r="Q100" s="183"/>
    </row>
    <row r="101" spans="1:17" s="6" customFormat="1" ht="13.8" x14ac:dyDescent="0.25">
      <c r="A101" s="16" t="s">
        <v>714</v>
      </c>
      <c r="B101" s="16"/>
      <c r="C101" s="55"/>
      <c r="D101" s="55"/>
      <c r="E101" s="97">
        <v>-8000</v>
      </c>
      <c r="F101" s="55"/>
      <c r="G101" s="97">
        <v>0</v>
      </c>
      <c r="H101" s="58"/>
      <c r="I101" s="97">
        <v>-11500</v>
      </c>
      <c r="J101" s="58"/>
      <c r="K101" s="97">
        <v>0</v>
      </c>
      <c r="L101" s="97"/>
      <c r="M101" s="97">
        <v>0</v>
      </c>
      <c r="N101" s="99"/>
      <c r="O101" s="384"/>
      <c r="P101" s="183"/>
      <c r="Q101" s="183"/>
    </row>
    <row r="102" spans="1:17" s="6" customFormat="1" ht="13.8" x14ac:dyDescent="0.25">
      <c r="A102" s="23" t="s">
        <v>614</v>
      </c>
      <c r="B102" s="23"/>
      <c r="C102" s="81"/>
      <c r="D102" s="81"/>
      <c r="E102" s="97">
        <v>-182000</v>
      </c>
      <c r="F102" s="55"/>
      <c r="G102" s="97">
        <v>-162000</v>
      </c>
      <c r="H102" s="58"/>
      <c r="I102" s="97">
        <f>-156800-0.4</f>
        <v>-156800.4</v>
      </c>
      <c r="J102" s="58"/>
      <c r="K102" s="97">
        <v>-159400</v>
      </c>
      <c r="L102" s="97"/>
      <c r="M102" s="97">
        <v>-142325.13</v>
      </c>
      <c r="N102" s="99"/>
      <c r="O102" s="384"/>
      <c r="P102" s="183"/>
      <c r="Q102" s="183"/>
    </row>
    <row r="103" spans="1:17" s="6" customFormat="1" ht="13.8" x14ac:dyDescent="0.25">
      <c r="A103" s="16" t="s">
        <v>615</v>
      </c>
      <c r="B103" s="16"/>
      <c r="C103" s="55"/>
      <c r="D103" s="55"/>
      <c r="E103" s="97">
        <v>0</v>
      </c>
      <c r="F103" s="55"/>
      <c r="G103" s="97">
        <v>0</v>
      </c>
      <c r="H103" s="58"/>
      <c r="I103" s="97">
        <v>-10085</v>
      </c>
      <c r="J103" s="58"/>
      <c r="K103" s="97">
        <v>-15765</v>
      </c>
      <c r="L103" s="97"/>
      <c r="M103" s="97">
        <v>-5043</v>
      </c>
      <c r="N103" s="99"/>
      <c r="O103" s="384"/>
      <c r="P103" s="183"/>
      <c r="Q103" s="183"/>
    </row>
    <row r="104" spans="1:17" s="6" customFormat="1" ht="13.8" x14ac:dyDescent="0.25">
      <c r="A104" s="23" t="s">
        <v>616</v>
      </c>
      <c r="B104" s="16"/>
      <c r="C104" s="55"/>
      <c r="D104" s="55"/>
      <c r="E104" s="157">
        <v>0</v>
      </c>
      <c r="F104" s="55"/>
      <c r="G104" s="157">
        <v>0</v>
      </c>
      <c r="H104" s="58"/>
      <c r="I104" s="157">
        <v>-4953</v>
      </c>
      <c r="J104" s="58"/>
      <c r="K104" s="157">
        <v>0</v>
      </c>
      <c r="L104" s="97"/>
      <c r="M104" s="157">
        <v>-8104.48</v>
      </c>
      <c r="N104" s="99"/>
      <c r="O104" s="384"/>
      <c r="P104" s="183"/>
      <c r="Q104" s="183"/>
    </row>
    <row r="105" spans="1:17" s="6" customFormat="1" ht="14.4" thickBot="1" x14ac:dyDescent="0.3">
      <c r="A105" s="15" t="s">
        <v>656</v>
      </c>
      <c r="B105" s="16"/>
      <c r="C105" s="55"/>
      <c r="D105" s="55"/>
      <c r="E105" s="156">
        <f>SUM(E92:E104)</f>
        <v>338000</v>
      </c>
      <c r="F105" s="55"/>
      <c r="G105" s="156">
        <f>SUM(G92:G104)</f>
        <v>350000</v>
      </c>
      <c r="H105" s="58"/>
      <c r="I105" s="156">
        <f>SUM(I92:I104)</f>
        <v>302355.19999999995</v>
      </c>
      <c r="J105" s="58"/>
      <c r="K105" s="156">
        <f>SUM(K92:K104)</f>
        <v>313335</v>
      </c>
      <c r="L105" s="97"/>
      <c r="M105" s="156">
        <f>SUM(M92:M104)</f>
        <v>315768.16000000003</v>
      </c>
      <c r="N105" s="99"/>
      <c r="O105" s="384"/>
      <c r="P105" s="183"/>
      <c r="Q105" s="183"/>
    </row>
    <row r="106" spans="1:17" s="6" customFormat="1" ht="14.4" thickTop="1" x14ac:dyDescent="0.25">
      <c r="A106" s="15"/>
      <c r="B106" s="16"/>
      <c r="C106" s="55"/>
      <c r="D106" s="55"/>
      <c r="E106" s="97"/>
      <c r="F106" s="55"/>
      <c r="G106" s="97"/>
      <c r="H106" s="58"/>
      <c r="I106" s="99"/>
      <c r="J106" s="58"/>
      <c r="K106" s="97"/>
      <c r="L106" s="97"/>
      <c r="M106" s="97"/>
      <c r="N106" s="99"/>
      <c r="O106" s="384"/>
      <c r="P106" s="183"/>
      <c r="Q106" s="183"/>
    </row>
    <row r="107" spans="1:17" s="6" customFormat="1" ht="13.8" x14ac:dyDescent="0.25">
      <c r="A107" s="16"/>
      <c r="B107" s="16"/>
      <c r="C107" s="55"/>
      <c r="D107" s="55"/>
      <c r="E107" s="99"/>
      <c r="F107" s="55"/>
      <c r="G107" s="99"/>
      <c r="H107" s="58"/>
      <c r="I107" s="99"/>
      <c r="J107" s="58"/>
      <c r="L107" s="60"/>
      <c r="N107" s="99"/>
      <c r="O107" s="383"/>
      <c r="P107" s="183"/>
      <c r="Q107" s="183"/>
    </row>
    <row r="108" spans="1:17" s="6" customFormat="1" ht="17.399999999999999" x14ac:dyDescent="0.35">
      <c r="A108" s="21" t="s">
        <v>224</v>
      </c>
      <c r="B108" s="89"/>
      <c r="C108" s="81"/>
      <c r="D108" s="81"/>
      <c r="E108" s="99"/>
      <c r="F108" s="81"/>
      <c r="G108" s="99"/>
      <c r="H108" s="81"/>
      <c r="I108" s="99"/>
      <c r="J108" s="81"/>
      <c r="K108" s="99"/>
      <c r="L108" s="88"/>
      <c r="M108" s="99"/>
      <c r="N108" s="99"/>
      <c r="O108" s="383"/>
      <c r="P108" s="183"/>
      <c r="Q108" s="183"/>
    </row>
    <row r="109" spans="1:17" s="6" customFormat="1" ht="14.4" thickBot="1" x14ac:dyDescent="0.3">
      <c r="A109" s="16" t="s">
        <v>317</v>
      </c>
      <c r="B109" s="16"/>
      <c r="C109" s="55"/>
      <c r="D109" s="55"/>
      <c r="E109" s="116">
        <v>30000</v>
      </c>
      <c r="F109" s="55"/>
      <c r="G109" s="116">
        <v>30000</v>
      </c>
      <c r="H109" s="58"/>
      <c r="I109" s="116">
        <v>30000</v>
      </c>
      <c r="J109" s="58"/>
      <c r="K109" s="116">
        <v>40000</v>
      </c>
      <c r="L109" s="29"/>
      <c r="M109" s="158">
        <v>33757</v>
      </c>
      <c r="N109" s="99"/>
      <c r="O109" s="383"/>
      <c r="P109" s="183"/>
      <c r="Q109" s="183"/>
    </row>
    <row r="110" spans="1:17" s="6" customFormat="1" ht="14.4" thickTop="1" x14ac:dyDescent="0.25">
      <c r="A110" s="90"/>
      <c r="B110" s="90"/>
      <c r="C110" s="55"/>
      <c r="D110" s="55"/>
      <c r="E110" s="99"/>
      <c r="F110" s="55"/>
      <c r="G110" s="99"/>
      <c r="H110" s="58"/>
      <c r="I110" s="99"/>
      <c r="J110" s="58"/>
      <c r="K110" s="99"/>
      <c r="L110" s="81"/>
      <c r="M110" s="153"/>
      <c r="N110" s="99"/>
      <c r="O110" s="383"/>
      <c r="P110" s="183"/>
      <c r="Q110" s="183"/>
    </row>
    <row r="111" spans="1:17" s="6" customFormat="1" ht="17.399999999999999" x14ac:dyDescent="0.35">
      <c r="A111" s="21" t="s">
        <v>306</v>
      </c>
      <c r="B111" s="89"/>
      <c r="C111" s="58"/>
      <c r="D111" s="58"/>
      <c r="E111" s="99"/>
      <c r="F111" s="58"/>
      <c r="G111" s="99"/>
      <c r="H111" s="58"/>
      <c r="I111" s="99"/>
      <c r="J111" s="58"/>
      <c r="K111" s="99"/>
      <c r="L111" s="49"/>
      <c r="M111" s="97"/>
      <c r="N111" s="99"/>
      <c r="O111" s="383"/>
      <c r="P111" s="183"/>
      <c r="Q111" s="183"/>
    </row>
    <row r="112" spans="1:17" s="6" customFormat="1" ht="13.8" x14ac:dyDescent="0.25">
      <c r="A112" s="58"/>
      <c r="B112" s="58"/>
      <c r="C112" s="58"/>
      <c r="D112" s="58"/>
      <c r="E112" s="99"/>
      <c r="F112" s="58"/>
      <c r="G112" s="99"/>
      <c r="H112" s="58"/>
      <c r="J112" s="58"/>
      <c r="K112" s="99"/>
      <c r="L112" s="49"/>
      <c r="M112" s="97"/>
      <c r="N112" s="99"/>
      <c r="O112" s="383"/>
      <c r="P112" s="183"/>
      <c r="Q112" s="183"/>
    </row>
    <row r="113" spans="1:18" s="6" customFormat="1" x14ac:dyDescent="0.3">
      <c r="A113" s="15" t="s">
        <v>325</v>
      </c>
      <c r="B113" s="82"/>
      <c r="C113" s="58"/>
      <c r="D113" s="58"/>
      <c r="E113" s="99"/>
      <c r="F113" s="58"/>
      <c r="G113" s="99"/>
      <c r="H113" s="58"/>
      <c r="I113" s="99"/>
      <c r="J113" s="58"/>
      <c r="K113" s="99"/>
      <c r="L113" s="49"/>
      <c r="M113" s="97"/>
      <c r="N113" s="99"/>
      <c r="O113" s="383"/>
      <c r="P113" s="183"/>
      <c r="Q113" s="183"/>
    </row>
    <row r="114" spans="1:18" s="6" customFormat="1" ht="13.8" x14ac:dyDescent="0.25">
      <c r="A114" s="16" t="s">
        <v>324</v>
      </c>
      <c r="B114" s="16"/>
      <c r="C114" s="58"/>
      <c r="D114" s="58"/>
      <c r="E114" s="99">
        <v>21375</v>
      </c>
      <c r="F114" s="58"/>
      <c r="G114" s="99">
        <v>17877</v>
      </c>
      <c r="H114" s="58"/>
      <c r="I114" s="99">
        <v>21375</v>
      </c>
      <c r="J114" s="58"/>
      <c r="K114" s="99">
        <v>17877</v>
      </c>
      <c r="L114" s="49"/>
      <c r="M114" s="99">
        <v>17196</v>
      </c>
      <c r="N114" s="99"/>
      <c r="O114" s="384"/>
      <c r="P114" s="183"/>
      <c r="Q114" s="183"/>
    </row>
    <row r="115" spans="1:18" s="6" customFormat="1" ht="13.8" x14ac:dyDescent="0.25">
      <c r="A115" s="16" t="s">
        <v>272</v>
      </c>
      <c r="B115" s="16"/>
      <c r="C115" s="58"/>
      <c r="D115" s="58"/>
      <c r="E115" s="99">
        <v>2000</v>
      </c>
      <c r="F115" s="58"/>
      <c r="G115" s="99">
        <v>2000</v>
      </c>
      <c r="H115" s="58"/>
      <c r="I115" s="99">
        <v>2000</v>
      </c>
      <c r="J115" s="58"/>
      <c r="K115" s="99">
        <v>2000</v>
      </c>
      <c r="L115" s="49"/>
      <c r="M115" s="99">
        <v>1438</v>
      </c>
      <c r="N115" s="99"/>
      <c r="O115" s="383"/>
      <c r="P115" s="183"/>
      <c r="Q115" s="183"/>
    </row>
    <row r="116" spans="1:18" s="6" customFormat="1" ht="14.4" thickBot="1" x14ac:dyDescent="0.3">
      <c r="A116" s="16"/>
      <c r="B116" s="16"/>
      <c r="C116" s="58"/>
      <c r="D116" s="58"/>
      <c r="E116" s="156">
        <f>SUM(E114:E115)</f>
        <v>23375</v>
      </c>
      <c r="F116" s="58"/>
      <c r="G116" s="156">
        <f>SUM(G114:G115)</f>
        <v>19877</v>
      </c>
      <c r="H116" s="58"/>
      <c r="I116" s="156">
        <f t="shared" ref="I116" si="2">SUM(I114:I115)</f>
        <v>23375</v>
      </c>
      <c r="J116" s="58"/>
      <c r="K116" s="156">
        <f t="shared" ref="K116" si="3">SUM(K114:K115)</f>
        <v>19877</v>
      </c>
      <c r="L116" s="97"/>
      <c r="M116" s="156">
        <f>SUM(M114:M115)</f>
        <v>18634</v>
      </c>
      <c r="N116" s="97"/>
      <c r="O116" s="384"/>
      <c r="P116" s="183"/>
      <c r="Q116" s="183"/>
    </row>
    <row r="117" spans="1:18" s="6" customFormat="1" ht="14.4" thickTop="1" x14ac:dyDescent="0.25">
      <c r="A117" s="58"/>
      <c r="B117" s="58"/>
      <c r="C117" s="58"/>
      <c r="D117" s="58"/>
      <c r="E117" s="99"/>
      <c r="F117" s="58"/>
      <c r="G117" s="99"/>
      <c r="H117" s="58"/>
      <c r="I117" s="99"/>
      <c r="J117" s="58"/>
      <c r="K117" s="99"/>
      <c r="L117" s="49"/>
      <c r="M117" s="97"/>
      <c r="N117" s="99"/>
      <c r="O117" s="383"/>
      <c r="P117" s="183"/>
      <c r="Q117" s="183"/>
    </row>
    <row r="118" spans="1:18" s="6" customFormat="1" x14ac:dyDescent="0.3">
      <c r="A118" s="111" t="s">
        <v>301</v>
      </c>
      <c r="B118" s="92"/>
      <c r="C118" s="58"/>
      <c r="D118" s="58"/>
      <c r="E118" s="99"/>
      <c r="F118" s="58"/>
      <c r="G118" s="99"/>
      <c r="H118" s="58"/>
      <c r="I118" s="99"/>
      <c r="J118" s="58"/>
      <c r="K118" s="99"/>
      <c r="L118" s="49"/>
      <c r="M118" s="97"/>
      <c r="N118" s="99"/>
      <c r="O118" s="383"/>
      <c r="P118" s="183"/>
      <c r="Q118" s="183"/>
    </row>
    <row r="119" spans="1:18" s="6" customFormat="1" ht="13.8" x14ac:dyDescent="0.25">
      <c r="A119" s="23" t="s">
        <v>280</v>
      </c>
      <c r="B119" s="16"/>
      <c r="C119" s="58"/>
      <c r="D119" s="58"/>
      <c r="E119" s="97">
        <v>147000</v>
      </c>
      <c r="F119" s="60"/>
      <c r="G119" s="97">
        <f>152000-10200</f>
        <v>141800</v>
      </c>
      <c r="H119" s="60"/>
      <c r="I119" s="97">
        <f>155885-I121</f>
        <v>145685</v>
      </c>
      <c r="J119" s="58"/>
      <c r="K119" s="97">
        <v>165285</v>
      </c>
      <c r="L119" s="97"/>
      <c r="M119" s="97">
        <v>177897</v>
      </c>
      <c r="N119" s="97"/>
      <c r="O119" s="183"/>
      <c r="P119" s="378"/>
      <c r="Q119" s="184"/>
      <c r="R119" s="103"/>
    </row>
    <row r="120" spans="1:18" s="6" customFormat="1" ht="13.8" x14ac:dyDescent="0.25">
      <c r="A120" s="23" t="s">
        <v>669</v>
      </c>
      <c r="B120" s="23"/>
      <c r="C120" s="60"/>
      <c r="D120" s="60"/>
      <c r="E120" s="97">
        <v>41250</v>
      </c>
      <c r="F120" s="58"/>
      <c r="G120" s="97">
        <v>53500</v>
      </c>
      <c r="H120" s="58"/>
      <c r="I120" s="97">
        <v>41065</v>
      </c>
      <c r="J120" s="58"/>
      <c r="K120" s="97">
        <v>53500</v>
      </c>
      <c r="L120" s="97"/>
      <c r="M120" s="97">
        <v>59643</v>
      </c>
      <c r="N120" s="97"/>
      <c r="O120" s="183"/>
      <c r="P120" s="380"/>
      <c r="Q120" s="184"/>
      <c r="R120" s="103"/>
    </row>
    <row r="121" spans="1:18" s="6" customFormat="1" ht="13.8" x14ac:dyDescent="0.25">
      <c r="A121" s="23" t="s">
        <v>712</v>
      </c>
      <c r="B121" s="23"/>
      <c r="C121" s="60"/>
      <c r="D121" s="60"/>
      <c r="E121" s="379">
        <v>10895</v>
      </c>
      <c r="F121" s="58"/>
      <c r="G121" s="97">
        <v>10200</v>
      </c>
      <c r="H121" s="58"/>
      <c r="I121" s="97">
        <v>10200</v>
      </c>
      <c r="J121" s="58"/>
      <c r="K121" s="97">
        <v>0</v>
      </c>
      <c r="L121" s="97"/>
      <c r="M121" s="97">
        <v>0</v>
      </c>
      <c r="N121" s="97"/>
      <c r="O121" s="183"/>
      <c r="P121" s="380"/>
      <c r="Q121" s="184"/>
    </row>
    <row r="122" spans="1:18" s="6" customFormat="1" ht="13.8" x14ac:dyDescent="0.25">
      <c r="A122" s="23" t="s">
        <v>681</v>
      </c>
      <c r="B122" s="16"/>
      <c r="C122" s="58"/>
      <c r="D122" s="58"/>
      <c r="E122" s="97">
        <v>9900</v>
      </c>
      <c r="F122" s="58"/>
      <c r="G122" s="97">
        <v>11000</v>
      </c>
      <c r="H122" s="58"/>
      <c r="I122" s="97">
        <v>11000</v>
      </c>
      <c r="J122" s="58"/>
      <c r="K122" s="97">
        <v>0</v>
      </c>
      <c r="L122" s="97"/>
      <c r="M122" s="97">
        <v>0</v>
      </c>
      <c r="N122" s="183"/>
      <c r="O122" s="183"/>
      <c r="P122" s="380"/>
      <c r="Q122" s="184"/>
      <c r="R122" s="374"/>
    </row>
    <row r="123" spans="1:18" s="6" customFormat="1" ht="13.8" x14ac:dyDescent="0.25">
      <c r="A123" s="23" t="s">
        <v>670</v>
      </c>
      <c r="B123" s="23"/>
      <c r="C123" s="60"/>
      <c r="D123" s="60"/>
      <c r="E123" s="97">
        <v>68665</v>
      </c>
      <c r="F123" s="58"/>
      <c r="G123" s="97">
        <v>68000</v>
      </c>
      <c r="H123" s="58"/>
      <c r="I123" s="97">
        <v>64320</v>
      </c>
      <c r="J123" s="58"/>
      <c r="K123" s="97">
        <v>68000</v>
      </c>
      <c r="L123" s="97"/>
      <c r="M123" s="97">
        <v>65434</v>
      </c>
      <c r="N123" s="97"/>
      <c r="O123" s="183"/>
      <c r="P123" s="378"/>
      <c r="Q123" s="184"/>
      <c r="R123" s="374"/>
    </row>
    <row r="124" spans="1:18" s="6" customFormat="1" ht="14.4" thickBot="1" x14ac:dyDescent="0.3">
      <c r="A124" s="58"/>
      <c r="B124" s="58"/>
      <c r="C124" s="58"/>
      <c r="D124" s="58"/>
      <c r="E124" s="156">
        <f>SUM(E119:E123)</f>
        <v>277710</v>
      </c>
      <c r="F124" s="58"/>
      <c r="G124" s="156">
        <f>SUM(G119:G123)</f>
        <v>284500</v>
      </c>
      <c r="H124" s="58"/>
      <c r="I124" s="156">
        <f>SUM(I119:I123)</f>
        <v>272270</v>
      </c>
      <c r="J124" s="58"/>
      <c r="K124" s="156">
        <f>SUM(K119:K123)</f>
        <v>286785</v>
      </c>
      <c r="L124" s="156"/>
      <c r="M124" s="156">
        <f>SUM(M119:M123)</f>
        <v>302974</v>
      </c>
      <c r="N124" s="183"/>
      <c r="O124" s="183"/>
      <c r="P124" s="378"/>
      <c r="Q124" s="184"/>
      <c r="R124" s="374"/>
    </row>
    <row r="125" spans="1:18" s="6" customFormat="1" ht="14.4" thickTop="1" x14ac:dyDescent="0.25">
      <c r="A125" s="16"/>
      <c r="B125" s="16"/>
      <c r="C125" s="55"/>
      <c r="D125" s="55"/>
      <c r="E125" s="99"/>
      <c r="F125" s="55"/>
      <c r="G125" s="99"/>
      <c r="H125" s="58"/>
      <c r="I125" s="99"/>
      <c r="J125" s="58"/>
      <c r="K125" s="99"/>
      <c r="L125" s="81"/>
      <c r="M125" s="153"/>
      <c r="N125" s="183"/>
      <c r="O125" s="183"/>
      <c r="P125" s="378"/>
      <c r="Q125" s="185"/>
      <c r="R125" s="374"/>
    </row>
    <row r="126" spans="1:18" s="6" customFormat="1" ht="13.8" x14ac:dyDescent="0.25">
      <c r="A126" s="16"/>
      <c r="B126" s="16"/>
      <c r="C126" s="55"/>
      <c r="D126" s="55"/>
      <c r="E126" s="99"/>
      <c r="F126" s="55"/>
      <c r="G126" s="99"/>
      <c r="H126" s="58"/>
      <c r="I126" s="99"/>
      <c r="J126" s="58"/>
      <c r="K126" s="99"/>
      <c r="L126" s="81"/>
      <c r="M126" s="153"/>
      <c r="N126" s="97"/>
      <c r="O126" s="183"/>
      <c r="P126" s="380"/>
      <c r="Q126" s="184"/>
    </row>
    <row r="127" spans="1:18" s="6" customFormat="1" x14ac:dyDescent="0.3">
      <c r="A127" s="15" t="s">
        <v>302</v>
      </c>
      <c r="B127" s="82"/>
      <c r="C127" s="58"/>
      <c r="D127" s="58"/>
      <c r="E127" s="99"/>
      <c r="F127" s="58"/>
      <c r="G127" s="99"/>
      <c r="H127" s="58"/>
      <c r="I127" s="99"/>
      <c r="J127" s="58"/>
      <c r="K127" s="99"/>
      <c r="L127" s="49"/>
      <c r="M127" s="97"/>
      <c r="N127" s="99"/>
      <c r="O127" s="183"/>
      <c r="P127" s="378"/>
      <c r="Q127" s="184"/>
      <c r="R127" s="375"/>
    </row>
    <row r="128" spans="1:18" s="6" customFormat="1" ht="13.8" x14ac:dyDescent="0.25">
      <c r="A128" s="23" t="s">
        <v>326</v>
      </c>
      <c r="B128" s="16"/>
      <c r="C128" s="58"/>
      <c r="D128" s="58"/>
      <c r="E128" s="99">
        <v>22000</v>
      </c>
      <c r="F128" s="58"/>
      <c r="G128" s="99">
        <v>22000</v>
      </c>
      <c r="H128" s="58"/>
      <c r="I128" s="99">
        <v>22000</v>
      </c>
      <c r="J128" s="58"/>
      <c r="K128" s="99">
        <v>22000</v>
      </c>
      <c r="L128" s="49"/>
      <c r="M128" s="344">
        <v>21490</v>
      </c>
      <c r="N128" s="99"/>
      <c r="O128" s="183"/>
      <c r="P128" s="380"/>
      <c r="Q128" s="184"/>
      <c r="R128" s="375"/>
    </row>
    <row r="129" spans="1:20" s="6" customFormat="1" ht="13.8" x14ac:dyDescent="0.25">
      <c r="A129" s="23" t="s">
        <v>657</v>
      </c>
      <c r="B129" s="16"/>
      <c r="C129" s="58"/>
      <c r="D129" s="58"/>
      <c r="E129" s="99">
        <v>50000</v>
      </c>
      <c r="F129" s="60"/>
      <c r="G129" s="99">
        <v>50000</v>
      </c>
      <c r="H129" s="60"/>
      <c r="I129" s="99">
        <v>50000</v>
      </c>
      <c r="J129" s="58"/>
      <c r="K129" s="99">
        <v>50000</v>
      </c>
      <c r="L129" s="49"/>
      <c r="M129" s="99">
        <v>0</v>
      </c>
      <c r="N129" s="99"/>
      <c r="O129" s="183"/>
      <c r="P129" s="380"/>
      <c r="Q129" s="185"/>
      <c r="R129" s="375"/>
      <c r="S129" s="9"/>
    </row>
    <row r="130" spans="1:20" s="6" customFormat="1" ht="13.8" x14ac:dyDescent="0.25">
      <c r="A130" s="23" t="s">
        <v>525</v>
      </c>
      <c r="B130" s="16"/>
      <c r="C130" s="58"/>
      <c r="D130" s="58"/>
      <c r="E130" s="99">
        <v>19000</v>
      </c>
      <c r="F130" s="58"/>
      <c r="G130" s="99">
        <v>18500</v>
      </c>
      <c r="H130" s="58"/>
      <c r="I130" s="99">
        <v>19000</v>
      </c>
      <c r="J130" s="58"/>
      <c r="K130" s="99">
        <v>18500</v>
      </c>
      <c r="L130" s="49"/>
      <c r="M130" s="344">
        <v>19115</v>
      </c>
      <c r="N130" s="99"/>
      <c r="O130" s="183"/>
      <c r="P130" s="378"/>
      <c r="Q130" s="184"/>
      <c r="R130" s="377"/>
      <c r="T130" s="9"/>
    </row>
    <row r="131" spans="1:20" s="6" customFormat="1" ht="13.8" x14ac:dyDescent="0.25">
      <c r="A131" s="23" t="s">
        <v>461</v>
      </c>
      <c r="C131" s="55"/>
      <c r="D131" s="55"/>
      <c r="E131" s="356">
        <v>7125</v>
      </c>
      <c r="F131" s="55"/>
      <c r="G131" s="99">
        <v>6000</v>
      </c>
      <c r="H131" s="58"/>
      <c r="I131" s="99">
        <v>9800</v>
      </c>
      <c r="J131" s="58"/>
      <c r="K131" s="99">
        <v>12000</v>
      </c>
      <c r="L131" s="60"/>
      <c r="M131" s="344">
        <v>11618</v>
      </c>
      <c r="N131" s="348"/>
      <c r="O131" s="183"/>
      <c r="P131" s="378"/>
      <c r="Q131" s="184"/>
      <c r="R131" s="375"/>
    </row>
    <row r="132" spans="1:20" s="6" customFormat="1" thickBot="1" x14ac:dyDescent="0.3">
      <c r="A132" s="16"/>
      <c r="B132" s="16"/>
      <c r="C132" s="55"/>
      <c r="D132" s="55"/>
      <c r="E132" s="156">
        <f>SUM(E128:E131)</f>
        <v>98125</v>
      </c>
      <c r="F132" s="55"/>
      <c r="G132" s="156">
        <f>SUM(G128:G131)</f>
        <v>96500</v>
      </c>
      <c r="H132" s="58"/>
      <c r="I132" s="156">
        <f>SUM(I128:I131)</f>
        <v>100800</v>
      </c>
      <c r="J132" s="58"/>
      <c r="K132" s="156">
        <f>SUM(K128:K131)</f>
        <v>102500</v>
      </c>
      <c r="L132" s="60"/>
      <c r="M132" s="156">
        <f>SUM(M128:M131)</f>
        <v>52223</v>
      </c>
      <c r="N132" s="97"/>
      <c r="O132" s="183"/>
      <c r="P132" s="378"/>
      <c r="Q132" s="385"/>
      <c r="R132" s="376"/>
    </row>
    <row r="133" spans="1:20" s="6" customFormat="1" ht="14.4" thickTop="1" x14ac:dyDescent="0.25">
      <c r="A133" s="16"/>
      <c r="B133" s="16"/>
      <c r="C133" s="55"/>
      <c r="D133" s="55"/>
      <c r="E133" s="99"/>
      <c r="F133" s="55"/>
      <c r="G133" s="99"/>
      <c r="H133" s="58"/>
      <c r="I133" s="99"/>
      <c r="J133" s="58"/>
      <c r="K133" s="99"/>
      <c r="L133" s="60"/>
      <c r="M133" s="153"/>
      <c r="N133" s="99"/>
      <c r="O133" s="183"/>
      <c r="P133" s="380"/>
      <c r="Q133" s="185"/>
    </row>
    <row r="134" spans="1:20" s="6" customFormat="1" x14ac:dyDescent="0.3">
      <c r="A134" s="80" t="s">
        <v>269</v>
      </c>
      <c r="B134" s="91"/>
      <c r="C134" s="81"/>
      <c r="D134" s="81"/>
      <c r="E134" s="99"/>
      <c r="F134" s="81"/>
      <c r="G134" s="99"/>
      <c r="H134" s="81"/>
      <c r="J134" s="81"/>
      <c r="K134" s="99"/>
      <c r="L134" s="88"/>
      <c r="M134" s="99"/>
      <c r="N134" s="99"/>
      <c r="O134" s="183"/>
      <c r="P134" s="183"/>
      <c r="Q134" s="183"/>
    </row>
    <row r="135" spans="1:20" s="6" customFormat="1" ht="13.8" x14ac:dyDescent="0.25">
      <c r="A135" s="16" t="s">
        <v>260</v>
      </c>
      <c r="B135" s="16"/>
      <c r="C135" s="55"/>
      <c r="D135" s="55"/>
      <c r="E135" s="99">
        <v>23000</v>
      </c>
      <c r="F135" s="55"/>
      <c r="G135" s="99">
        <v>23000</v>
      </c>
      <c r="H135" s="58"/>
      <c r="I135" s="99">
        <v>23000</v>
      </c>
      <c r="J135" s="58"/>
      <c r="K135" s="99">
        <v>23000</v>
      </c>
      <c r="L135" s="29"/>
      <c r="M135" s="344">
        <v>23000</v>
      </c>
      <c r="N135" s="99"/>
      <c r="O135" s="183"/>
      <c r="P135" s="183"/>
      <c r="Q135" s="183"/>
    </row>
    <row r="136" spans="1:20" s="6" customFormat="1" ht="13.8" x14ac:dyDescent="0.25">
      <c r="A136" s="16" t="s">
        <v>327</v>
      </c>
      <c r="B136" s="16"/>
      <c r="C136" s="55"/>
      <c r="D136" s="55"/>
      <c r="E136" s="99">
        <v>7500</v>
      </c>
      <c r="F136" s="55"/>
      <c r="G136" s="99">
        <v>9500</v>
      </c>
      <c r="H136" s="58"/>
      <c r="I136" s="99">
        <v>6000</v>
      </c>
      <c r="J136" s="58"/>
      <c r="K136" s="99">
        <v>9500</v>
      </c>
      <c r="L136" s="29"/>
      <c r="M136" s="344">
        <v>9612</v>
      </c>
      <c r="N136" s="99"/>
      <c r="O136" s="183"/>
      <c r="P136" s="383"/>
      <c r="Q136" s="183"/>
    </row>
    <row r="137" spans="1:20" s="6" customFormat="1" ht="13.8" x14ac:dyDescent="0.25">
      <c r="A137" s="16" t="s">
        <v>328</v>
      </c>
      <c r="B137" s="16"/>
      <c r="C137" s="55"/>
      <c r="D137" s="55"/>
      <c r="E137" s="99">
        <v>15000</v>
      </c>
      <c r="F137" s="55"/>
      <c r="G137" s="99">
        <v>12000</v>
      </c>
      <c r="H137" s="58"/>
      <c r="I137" s="99">
        <v>14100</v>
      </c>
      <c r="J137" s="58"/>
      <c r="K137" s="99">
        <v>12000</v>
      </c>
      <c r="L137" s="29"/>
      <c r="M137" s="344">
        <v>11885</v>
      </c>
      <c r="N137" s="99"/>
      <c r="O137" s="383"/>
      <c r="P137" s="183"/>
      <c r="Q137" s="183"/>
    </row>
    <row r="138" spans="1:20" s="6" customFormat="1" ht="13.8" x14ac:dyDescent="0.25">
      <c r="A138" s="16" t="s">
        <v>170</v>
      </c>
      <c r="B138" s="16"/>
      <c r="C138" s="55"/>
      <c r="D138" s="55"/>
      <c r="E138" s="99">
        <v>5000</v>
      </c>
      <c r="F138" s="55"/>
      <c r="G138" s="99">
        <v>5000</v>
      </c>
      <c r="H138" s="58"/>
      <c r="I138" s="99">
        <v>3500</v>
      </c>
      <c r="J138" s="58"/>
      <c r="K138" s="99">
        <v>5000</v>
      </c>
      <c r="L138" s="29"/>
      <c r="M138" s="344">
        <v>4853</v>
      </c>
      <c r="N138" s="99"/>
      <c r="O138" s="383"/>
      <c r="P138" s="183"/>
      <c r="Q138" s="183"/>
    </row>
    <row r="139" spans="1:20" s="6" customFormat="1" ht="13.8" x14ac:dyDescent="0.25">
      <c r="A139" s="16" t="s">
        <v>329</v>
      </c>
      <c r="B139" s="16"/>
      <c r="C139" s="55"/>
      <c r="D139" s="55"/>
      <c r="E139" s="356">
        <v>1500</v>
      </c>
      <c r="F139" s="55"/>
      <c r="G139" s="99">
        <v>1500</v>
      </c>
      <c r="H139" s="58"/>
      <c r="I139" s="99">
        <v>3904</v>
      </c>
      <c r="J139" s="58"/>
      <c r="K139" s="99">
        <v>1500</v>
      </c>
      <c r="L139" s="29"/>
      <c r="M139" s="344">
        <v>6124</v>
      </c>
      <c r="N139" s="99"/>
      <c r="O139" s="383"/>
      <c r="P139" s="183"/>
      <c r="Q139" s="183"/>
    </row>
    <row r="140" spans="1:20" s="6" customFormat="1" ht="13.8" x14ac:dyDescent="0.25">
      <c r="A140" s="16" t="s">
        <v>713</v>
      </c>
      <c r="B140" s="16"/>
      <c r="C140" s="55"/>
      <c r="D140" s="55"/>
      <c r="E140" s="99">
        <v>0</v>
      </c>
      <c r="F140" s="55"/>
      <c r="G140" s="99">
        <v>0</v>
      </c>
      <c r="H140" s="58"/>
      <c r="I140" s="99">
        <v>43770</v>
      </c>
      <c r="J140" s="58"/>
      <c r="K140" s="99">
        <v>0</v>
      </c>
      <c r="L140" s="29"/>
      <c r="M140" s="344">
        <v>0</v>
      </c>
      <c r="N140" s="99"/>
      <c r="O140" s="383"/>
      <c r="P140" s="183"/>
      <c r="Q140" s="183"/>
    </row>
    <row r="141" spans="1:20" s="6" customFormat="1" ht="13.8" x14ac:dyDescent="0.25">
      <c r="A141" s="16" t="s">
        <v>263</v>
      </c>
      <c r="B141" s="16"/>
      <c r="C141" s="58"/>
      <c r="D141" s="58"/>
      <c r="E141" s="117">
        <v>5000</v>
      </c>
      <c r="F141" s="58"/>
      <c r="G141" s="117">
        <v>5000</v>
      </c>
      <c r="H141" s="58"/>
      <c r="I141" s="117">
        <v>5000</v>
      </c>
      <c r="J141" s="58"/>
      <c r="K141" s="117">
        <v>5000</v>
      </c>
      <c r="L141" s="29"/>
      <c r="M141" s="264">
        <v>6778</v>
      </c>
      <c r="N141" s="99"/>
      <c r="O141" s="383"/>
      <c r="P141" s="183"/>
      <c r="Q141" s="183"/>
    </row>
    <row r="142" spans="1:20" s="6" customFormat="1" ht="14.4" thickBot="1" x14ac:dyDescent="0.3">
      <c r="A142" s="58"/>
      <c r="B142" s="58"/>
      <c r="C142" s="58"/>
      <c r="D142" s="58"/>
      <c r="E142" s="100">
        <f>SUM(E135:E141)</f>
        <v>57000</v>
      </c>
      <c r="F142" s="58"/>
      <c r="G142" s="100">
        <f>SUM(G135:G141)</f>
        <v>56000</v>
      </c>
      <c r="H142" s="58"/>
      <c r="I142" s="100">
        <f>SUM(I135:I141)</f>
        <v>99274</v>
      </c>
      <c r="J142" s="58"/>
      <c r="K142" s="100">
        <f>SUM(K135:K141)</f>
        <v>56000</v>
      </c>
      <c r="L142" s="49"/>
      <c r="M142" s="156">
        <f>SUM(M135:M141)</f>
        <v>62252</v>
      </c>
      <c r="N142" s="99"/>
      <c r="O142" s="383"/>
      <c r="P142" s="183"/>
      <c r="Q142" s="183"/>
    </row>
    <row r="143" spans="1:20" s="6" customFormat="1" ht="17.25" customHeight="1" thickTop="1" x14ac:dyDescent="0.25">
      <c r="A143" s="58"/>
      <c r="B143" s="58"/>
      <c r="C143" s="58"/>
      <c r="D143" s="58"/>
      <c r="E143" s="99"/>
      <c r="F143" s="58"/>
      <c r="G143" s="99"/>
      <c r="H143" s="58"/>
      <c r="I143" s="99"/>
      <c r="J143" s="58"/>
      <c r="K143" s="99"/>
      <c r="L143" s="49"/>
      <c r="M143" s="97"/>
      <c r="N143" s="99"/>
      <c r="O143" s="383"/>
      <c r="P143" s="183"/>
      <c r="Q143" s="183"/>
    </row>
    <row r="144" spans="1:20" s="6" customFormat="1" ht="13.8" x14ac:dyDescent="0.25">
      <c r="A144" s="58"/>
      <c r="B144" s="58"/>
      <c r="C144" s="58"/>
      <c r="D144" s="58"/>
      <c r="E144" s="99"/>
      <c r="F144" s="58"/>
      <c r="G144" s="99"/>
      <c r="H144" s="58"/>
      <c r="I144" s="99"/>
      <c r="J144" s="58"/>
      <c r="K144" s="99"/>
      <c r="L144" s="49"/>
      <c r="M144" s="97"/>
      <c r="N144" s="99"/>
      <c r="O144" s="383"/>
      <c r="P144" s="183"/>
      <c r="Q144" s="183"/>
    </row>
    <row r="145" spans="1:17" s="6" customFormat="1" x14ac:dyDescent="0.3">
      <c r="A145" s="15" t="s">
        <v>565</v>
      </c>
      <c r="B145" s="82"/>
      <c r="C145" s="58"/>
      <c r="D145" s="58"/>
      <c r="E145" s="99"/>
      <c r="F145" s="58"/>
      <c r="G145" s="99"/>
      <c r="H145" s="58"/>
      <c r="I145" s="99"/>
      <c r="J145" s="58"/>
      <c r="K145" s="99"/>
      <c r="L145" s="49"/>
      <c r="M145" s="97"/>
      <c r="N145" s="99"/>
      <c r="O145" s="383"/>
      <c r="P145" s="183"/>
      <c r="Q145" s="183"/>
    </row>
    <row r="146" spans="1:17" s="6" customFormat="1" ht="13.8" x14ac:dyDescent="0.25">
      <c r="A146" s="16" t="s">
        <v>564</v>
      </c>
      <c r="B146" s="16"/>
      <c r="C146" s="58"/>
      <c r="D146" s="58"/>
      <c r="E146" s="155">
        <v>147500</v>
      </c>
      <c r="F146" s="58"/>
      <c r="G146" s="155">
        <v>144380</v>
      </c>
      <c r="H146" s="58"/>
      <c r="I146" s="155">
        <v>144380</v>
      </c>
      <c r="J146" s="58"/>
      <c r="K146" s="155">
        <v>142100</v>
      </c>
      <c r="L146" s="155"/>
      <c r="M146" s="155">
        <v>111727</v>
      </c>
      <c r="N146" s="49"/>
      <c r="O146" s="383"/>
      <c r="P146" s="183"/>
      <c r="Q146" s="183"/>
    </row>
    <row r="147" spans="1:17" s="6" customFormat="1" ht="13.8" x14ac:dyDescent="0.25">
      <c r="A147" s="16" t="s">
        <v>566</v>
      </c>
      <c r="B147" s="16"/>
      <c r="C147" s="58"/>
      <c r="D147" s="58"/>
      <c r="E147" s="155">
        <v>144510</v>
      </c>
      <c r="F147" s="58"/>
      <c r="G147" s="155">
        <f>104830-26340</f>
        <v>78490</v>
      </c>
      <c r="H147" s="58"/>
      <c r="I147" s="155">
        <v>166161</v>
      </c>
      <c r="J147" s="58"/>
      <c r="K147" s="155">
        <v>104830</v>
      </c>
      <c r="L147" s="155"/>
      <c r="M147" s="155">
        <v>62875</v>
      </c>
      <c r="N147" s="49"/>
      <c r="O147" s="383"/>
      <c r="P147" s="183"/>
      <c r="Q147" s="183"/>
    </row>
    <row r="148" spans="1:17" s="6" customFormat="1" ht="13.8" x14ac:dyDescent="0.25">
      <c r="A148" s="16" t="s">
        <v>567</v>
      </c>
      <c r="B148" s="16"/>
      <c r="C148" s="58"/>
      <c r="D148" s="58"/>
      <c r="E148" s="155">
        <v>68710</v>
      </c>
      <c r="F148" s="58"/>
      <c r="G148" s="155">
        <f>162550-26340</f>
        <v>136210</v>
      </c>
      <c r="H148" s="58"/>
      <c r="I148" s="155">
        <v>110170</v>
      </c>
      <c r="J148" s="58"/>
      <c r="K148" s="155">
        <v>162550</v>
      </c>
      <c r="L148" s="155"/>
      <c r="M148" s="155">
        <v>191456</v>
      </c>
      <c r="N148" s="49"/>
      <c r="O148" s="383"/>
      <c r="P148" s="183"/>
      <c r="Q148" s="183"/>
    </row>
    <row r="149" spans="1:17" s="6" customFormat="1" ht="13.8" x14ac:dyDescent="0.25">
      <c r="A149" s="16" t="s">
        <v>568</v>
      </c>
      <c r="B149" s="16"/>
      <c r="C149" s="58"/>
      <c r="D149" s="58"/>
      <c r="E149" s="155">
        <v>181000</v>
      </c>
      <c r="F149" s="58"/>
      <c r="G149" s="155">
        <f>241800-51000</f>
        <v>190800</v>
      </c>
      <c r="H149" s="58"/>
      <c r="I149" s="155">
        <f>241800-51000</f>
        <v>190800</v>
      </c>
      <c r="J149" s="58"/>
      <c r="K149" s="155">
        <f>240700-50000</f>
        <v>190700</v>
      </c>
      <c r="L149" s="155"/>
      <c r="M149" s="155">
        <f>289208-50000</f>
        <v>239208</v>
      </c>
      <c r="N149" s="49"/>
      <c r="O149" s="383"/>
      <c r="P149" s="183"/>
      <c r="Q149" s="183"/>
    </row>
    <row r="150" spans="1:17" s="6" customFormat="1" ht="13.8" x14ac:dyDescent="0.25">
      <c r="A150" s="16" t="s">
        <v>569</v>
      </c>
      <c r="B150" s="16"/>
      <c r="C150" s="58"/>
      <c r="D150" s="58"/>
      <c r="E150" s="155">
        <v>15000</v>
      </c>
      <c r="F150" s="58"/>
      <c r="G150" s="155">
        <v>19050</v>
      </c>
      <c r="H150" s="58"/>
      <c r="I150" s="155">
        <v>25000</v>
      </c>
      <c r="J150" s="58"/>
      <c r="K150" s="155">
        <v>19050</v>
      </c>
      <c r="L150" s="155"/>
      <c r="M150" s="155">
        <v>24948</v>
      </c>
      <c r="N150" s="49"/>
      <c r="O150" s="383"/>
      <c r="P150" s="183"/>
      <c r="Q150" s="183"/>
    </row>
    <row r="151" spans="1:17" s="6" customFormat="1" ht="13.8" x14ac:dyDescent="0.25">
      <c r="A151" s="16" t="s">
        <v>570</v>
      </c>
      <c r="B151" s="16"/>
      <c r="C151" s="58"/>
      <c r="D151" s="58"/>
      <c r="E151" s="155">
        <v>45180</v>
      </c>
      <c r="F151" s="58"/>
      <c r="G151" s="155">
        <f>59119-4759</f>
        <v>54360</v>
      </c>
      <c r="H151" s="58"/>
      <c r="I151" s="155">
        <f>59119-10000</f>
        <v>49119</v>
      </c>
      <c r="J151" s="58"/>
      <c r="K151" s="155">
        <v>54360</v>
      </c>
      <c r="L151" s="155"/>
      <c r="M151" s="155">
        <v>32281</v>
      </c>
      <c r="N151" s="49"/>
      <c r="O151" s="383"/>
      <c r="P151" s="183"/>
      <c r="Q151" s="183"/>
    </row>
    <row r="152" spans="1:17" s="6" customFormat="1" x14ac:dyDescent="0.3">
      <c r="A152" s="261" t="s">
        <v>711</v>
      </c>
      <c r="B152" s="16"/>
      <c r="C152" s="58"/>
      <c r="D152" s="58"/>
      <c r="E152" s="155">
        <v>25678</v>
      </c>
      <c r="F152" s="58"/>
      <c r="G152" s="155">
        <v>19080</v>
      </c>
      <c r="H152" s="58"/>
      <c r="I152" s="155">
        <v>26490</v>
      </c>
      <c r="J152" s="58"/>
      <c r="K152" s="155">
        <v>19080</v>
      </c>
      <c r="L152" s="155"/>
      <c r="M152" s="155">
        <v>61413</v>
      </c>
      <c r="N152" s="49"/>
      <c r="O152" s="383"/>
      <c r="P152" s="183"/>
      <c r="Q152" s="183"/>
    </row>
    <row r="153" spans="1:17" s="6" customFormat="1" ht="13.8" x14ac:dyDescent="0.25">
      <c r="A153" s="16" t="s">
        <v>707</v>
      </c>
      <c r="B153" s="16"/>
      <c r="C153" s="58"/>
      <c r="D153" s="58"/>
      <c r="E153" s="155">
        <v>89050</v>
      </c>
      <c r="F153" s="58"/>
      <c r="G153" s="155">
        <f>40000+51000</f>
        <v>91000</v>
      </c>
      <c r="H153" s="58"/>
      <c r="I153" s="155">
        <f>42750+51000</f>
        <v>93750</v>
      </c>
      <c r="J153" s="58"/>
      <c r="K153" s="155">
        <f>49100+50000</f>
        <v>99100</v>
      </c>
      <c r="L153" s="155"/>
      <c r="M153" s="155">
        <f>40500+50000</f>
        <v>90500</v>
      </c>
      <c r="N153" s="49"/>
      <c r="O153" s="383"/>
      <c r="P153" s="183"/>
      <c r="Q153" s="183"/>
    </row>
    <row r="154" spans="1:17" s="6" customFormat="1" ht="13.8" x14ac:dyDescent="0.25">
      <c r="A154" s="16" t="s">
        <v>526</v>
      </c>
      <c r="B154" s="16"/>
      <c r="C154" s="58"/>
      <c r="D154" s="58"/>
      <c r="E154" s="155">
        <v>-18000</v>
      </c>
      <c r="F154" s="58"/>
      <c r="G154" s="155">
        <v>-18000</v>
      </c>
      <c r="H154" s="58"/>
      <c r="I154" s="155">
        <v>-4800</v>
      </c>
      <c r="J154" s="58"/>
      <c r="K154" s="155">
        <v>-18000</v>
      </c>
      <c r="L154" s="155"/>
      <c r="M154" s="155">
        <v>-20620</v>
      </c>
      <c r="N154" s="49"/>
      <c r="O154" s="383"/>
      <c r="P154" s="183"/>
      <c r="Q154" s="183"/>
    </row>
    <row r="155" spans="1:17" s="6" customFormat="1" ht="13.8" x14ac:dyDescent="0.25">
      <c r="A155" s="16" t="s">
        <v>527</v>
      </c>
      <c r="B155" s="16"/>
      <c r="C155" s="58"/>
      <c r="D155" s="58"/>
      <c r="E155" s="155">
        <v>-47680</v>
      </c>
      <c r="F155" s="58"/>
      <c r="G155" s="155">
        <v>-47680</v>
      </c>
      <c r="H155" s="58"/>
      <c r="I155" s="155">
        <v>-93310</v>
      </c>
      <c r="J155" s="58"/>
      <c r="K155" s="155">
        <v>-47680</v>
      </c>
      <c r="L155" s="155"/>
      <c r="M155" s="155">
        <v>-74028</v>
      </c>
      <c r="N155" s="49"/>
      <c r="O155" s="383"/>
      <c r="P155" s="183"/>
      <c r="Q155" s="183"/>
    </row>
    <row r="156" spans="1:17" s="6" customFormat="1" ht="13.8" x14ac:dyDescent="0.25">
      <c r="A156" s="16" t="s">
        <v>437</v>
      </c>
      <c r="B156" s="16"/>
      <c r="C156" s="58"/>
      <c r="D156" s="58"/>
      <c r="E156" s="155">
        <v>16970</v>
      </c>
      <c r="F156" s="58"/>
      <c r="G156" s="155">
        <v>33075</v>
      </c>
      <c r="H156" s="58"/>
      <c r="I156" s="155">
        <v>9712</v>
      </c>
      <c r="J156" s="58"/>
      <c r="K156" s="155">
        <v>23605</v>
      </c>
      <c r="L156" s="155"/>
      <c r="M156" s="155">
        <v>16643</v>
      </c>
      <c r="N156" s="49"/>
      <c r="O156" s="383"/>
      <c r="P156" s="183"/>
      <c r="Q156" s="183"/>
    </row>
    <row r="157" spans="1:17" s="6" customFormat="1" ht="13.8" x14ac:dyDescent="0.25">
      <c r="A157" s="16" t="s">
        <v>591</v>
      </c>
      <c r="B157" s="16"/>
      <c r="C157" s="58"/>
      <c r="D157" s="58"/>
      <c r="E157" s="155">
        <v>33000</v>
      </c>
      <c r="F157" s="58"/>
      <c r="G157" s="155">
        <v>4000</v>
      </c>
      <c r="H157" s="58"/>
      <c r="I157" s="155">
        <v>7843</v>
      </c>
      <c r="J157" s="58"/>
      <c r="K157" s="155">
        <v>4000</v>
      </c>
      <c r="L157" s="155"/>
      <c r="M157" s="155">
        <v>7015</v>
      </c>
      <c r="N157" s="49"/>
      <c r="O157" s="383"/>
      <c r="P157" s="183"/>
      <c r="Q157" s="183"/>
    </row>
    <row r="158" spans="1:17" s="6" customFormat="1" ht="13.8" x14ac:dyDescent="0.25">
      <c r="A158" s="16" t="s">
        <v>94</v>
      </c>
      <c r="B158" s="16"/>
      <c r="C158" s="58"/>
      <c r="D158" s="58"/>
      <c r="E158" s="155">
        <v>66000</v>
      </c>
      <c r="F158" s="58"/>
      <c r="G158" s="155">
        <v>66000</v>
      </c>
      <c r="H158" s="58"/>
      <c r="I158" s="155">
        <v>66000</v>
      </c>
      <c r="J158" s="58"/>
      <c r="K158" s="155">
        <v>66000</v>
      </c>
      <c r="L158" s="155"/>
      <c r="M158" s="155">
        <v>69585</v>
      </c>
      <c r="N158" s="49"/>
      <c r="O158" s="383"/>
      <c r="P158" s="183"/>
      <c r="Q158" s="183"/>
    </row>
    <row r="159" spans="1:17" s="6" customFormat="1" ht="13.8" x14ac:dyDescent="0.25">
      <c r="A159" s="23" t="s">
        <v>705</v>
      </c>
      <c r="B159" s="23"/>
      <c r="C159" s="60"/>
      <c r="D159" s="60"/>
      <c r="E159" s="155">
        <v>25000</v>
      </c>
      <c r="F159" s="60"/>
      <c r="G159" s="155">
        <v>25000</v>
      </c>
      <c r="H159" s="60"/>
      <c r="I159" s="155">
        <v>20000</v>
      </c>
      <c r="J159" s="60"/>
      <c r="K159" s="155">
        <v>25000</v>
      </c>
      <c r="L159" s="155"/>
      <c r="M159" s="155">
        <v>21433</v>
      </c>
      <c r="N159" s="49"/>
      <c r="O159" s="383"/>
      <c r="P159" s="183"/>
      <c r="Q159" s="183"/>
    </row>
    <row r="160" spans="1:17" s="6" customFormat="1" ht="13.8" x14ac:dyDescent="0.25">
      <c r="A160" s="16" t="s">
        <v>522</v>
      </c>
      <c r="B160" s="16"/>
      <c r="C160" s="58"/>
      <c r="D160" s="58"/>
      <c r="E160" s="155">
        <v>38250</v>
      </c>
      <c r="F160" s="58"/>
      <c r="G160" s="155">
        <v>42500</v>
      </c>
      <c r="H160" s="58"/>
      <c r="I160" s="155">
        <v>42500</v>
      </c>
      <c r="J160" s="58"/>
      <c r="K160" s="155">
        <v>45000</v>
      </c>
      <c r="L160" s="155"/>
      <c r="M160" s="155">
        <v>45000</v>
      </c>
      <c r="N160" s="49"/>
      <c r="O160" s="383"/>
      <c r="P160" s="183"/>
      <c r="Q160" s="183"/>
    </row>
    <row r="161" spans="1:17" s="6" customFormat="1" ht="13.8" x14ac:dyDescent="0.25">
      <c r="A161" s="16" t="s">
        <v>523</v>
      </c>
      <c r="B161" s="16"/>
      <c r="C161" s="58"/>
      <c r="D161" s="58"/>
      <c r="E161" s="155">
        <v>23545</v>
      </c>
      <c r="F161" s="58"/>
      <c r="G161" s="155">
        <v>26160</v>
      </c>
      <c r="H161" s="58"/>
      <c r="I161" s="155">
        <v>26160</v>
      </c>
      <c r="J161" s="58"/>
      <c r="K161" s="155">
        <v>26160</v>
      </c>
      <c r="L161" s="155"/>
      <c r="M161" s="155">
        <v>26160</v>
      </c>
      <c r="N161" s="49"/>
      <c r="O161" s="383"/>
      <c r="P161" s="183"/>
      <c r="Q161" s="183"/>
    </row>
    <row r="162" spans="1:17" s="6" customFormat="1" ht="13.8" x14ac:dyDescent="0.25">
      <c r="A162" s="16" t="s">
        <v>563</v>
      </c>
      <c r="B162" s="16"/>
      <c r="C162" s="58"/>
      <c r="D162" s="58"/>
      <c r="E162" s="155">
        <v>9490</v>
      </c>
      <c r="F162" s="58"/>
      <c r="G162" s="155">
        <v>9000</v>
      </c>
      <c r="H162" s="58"/>
      <c r="I162" s="155">
        <v>9000</v>
      </c>
      <c r="J162" s="58"/>
      <c r="K162" s="155">
        <v>5000</v>
      </c>
      <c r="L162" s="155"/>
      <c r="M162" s="155">
        <v>4113</v>
      </c>
      <c r="N162" s="49"/>
      <c r="O162" s="383"/>
      <c r="P162" s="183"/>
      <c r="Q162" s="183"/>
    </row>
    <row r="163" spans="1:17" s="6" customFormat="1" ht="13.8" x14ac:dyDescent="0.25">
      <c r="A163" s="16" t="s">
        <v>571</v>
      </c>
      <c r="B163" s="16"/>
      <c r="C163" s="58"/>
      <c r="D163" s="58"/>
      <c r="E163" s="157">
        <v>0</v>
      </c>
      <c r="F163" s="58"/>
      <c r="G163" s="157">
        <v>0</v>
      </c>
      <c r="H163" s="58"/>
      <c r="I163" s="157">
        <v>2000</v>
      </c>
      <c r="J163" s="58"/>
      <c r="K163" s="157">
        <v>0</v>
      </c>
      <c r="L163" s="155"/>
      <c r="M163" s="157">
        <v>0</v>
      </c>
      <c r="N163" s="49"/>
      <c r="O163" s="383"/>
      <c r="P163" s="183"/>
      <c r="Q163" s="183"/>
    </row>
    <row r="164" spans="1:17" s="6" customFormat="1" ht="14.4" thickBot="1" x14ac:dyDescent="0.3">
      <c r="A164" s="58"/>
      <c r="B164" s="58"/>
      <c r="C164" s="58"/>
      <c r="D164" s="58"/>
      <c r="E164" s="158">
        <f>SUM(E146:E163)</f>
        <v>863203</v>
      </c>
      <c r="F164" s="58"/>
      <c r="G164" s="158">
        <f>SUM(G146:G163)</f>
        <v>873425</v>
      </c>
      <c r="H164" s="58"/>
      <c r="I164" s="158">
        <f>SUM(I146:I163)</f>
        <v>890975</v>
      </c>
      <c r="J164" s="58"/>
      <c r="K164" s="158">
        <f>SUM(K146:K163)</f>
        <v>920855</v>
      </c>
      <c r="L164" s="155"/>
      <c r="M164" s="158">
        <f>SUM(M146:M163)+0.5</f>
        <v>909709.5</v>
      </c>
      <c r="N164" s="49"/>
      <c r="O164" s="383"/>
      <c r="P164" s="183"/>
      <c r="Q164" s="183"/>
    </row>
    <row r="165" spans="1:17" s="6" customFormat="1" ht="14.4" thickTop="1" x14ac:dyDescent="0.25">
      <c r="A165" s="58"/>
      <c r="B165" s="58"/>
      <c r="C165" s="58"/>
      <c r="D165" s="58"/>
      <c r="E165" s="155"/>
      <c r="F165" s="58"/>
      <c r="G165" s="155"/>
      <c r="H165" s="58"/>
      <c r="I165" s="155"/>
      <c r="J165" s="58"/>
      <c r="K165" s="155"/>
      <c r="L165" s="155"/>
      <c r="M165" s="155"/>
      <c r="N165" s="99"/>
      <c r="O165" s="383"/>
      <c r="P165" s="183"/>
      <c r="Q165" s="183"/>
    </row>
    <row r="166" spans="1:17" s="6" customFormat="1" x14ac:dyDescent="0.3">
      <c r="A166" s="265" t="s">
        <v>572</v>
      </c>
      <c r="B166" s="58"/>
      <c r="C166" s="58"/>
      <c r="D166" s="58"/>
      <c r="E166" s="155"/>
      <c r="F166" s="58"/>
      <c r="G166" s="155"/>
      <c r="H166" s="58"/>
      <c r="I166" s="155"/>
      <c r="J166" s="58"/>
      <c r="K166" s="155"/>
      <c r="L166" s="155"/>
      <c r="M166" s="155"/>
      <c r="N166" s="99"/>
      <c r="O166" s="383"/>
      <c r="P166" s="183"/>
      <c r="Q166" s="183"/>
    </row>
    <row r="167" spans="1:17" s="6" customFormat="1" ht="13.8" x14ac:dyDescent="0.25">
      <c r="A167" s="16" t="s">
        <v>573</v>
      </c>
      <c r="B167" s="58"/>
      <c r="C167" s="58"/>
      <c r="D167" s="58"/>
      <c r="E167" s="155">
        <v>37500</v>
      </c>
      <c r="F167" s="58"/>
      <c r="G167" s="155">
        <v>35500</v>
      </c>
      <c r="H167" s="58"/>
      <c r="I167" s="155">
        <v>35500</v>
      </c>
      <c r="J167" s="58"/>
      <c r="K167" s="155">
        <v>35500</v>
      </c>
      <c r="L167" s="155"/>
      <c r="M167" s="155">
        <v>27500</v>
      </c>
      <c r="N167" s="49"/>
      <c r="O167" s="383"/>
      <c r="P167" s="183"/>
      <c r="Q167" s="183"/>
    </row>
    <row r="168" spans="1:17" s="6" customFormat="1" ht="13.8" x14ac:dyDescent="0.25">
      <c r="A168" s="16" t="s">
        <v>574</v>
      </c>
      <c r="B168" s="58"/>
      <c r="C168" s="58"/>
      <c r="D168" s="58"/>
      <c r="E168" s="155">
        <v>96214</v>
      </c>
      <c r="F168" s="58"/>
      <c r="G168" s="155">
        <f>105480-29750</f>
        <v>75730</v>
      </c>
      <c r="H168" s="58"/>
      <c r="I168" s="155">
        <f>105480+4410-4750</f>
        <v>105140</v>
      </c>
      <c r="J168" s="58"/>
      <c r="K168" s="155">
        <v>105480</v>
      </c>
      <c r="L168" s="155"/>
      <c r="M168" s="155">
        <v>73737.11</v>
      </c>
      <c r="N168" s="49"/>
      <c r="O168" s="383"/>
      <c r="P168" s="183"/>
      <c r="Q168" s="183"/>
    </row>
    <row r="169" spans="1:17" s="6" customFormat="1" ht="13.8" x14ac:dyDescent="0.25">
      <c r="A169" s="16" t="s">
        <v>575</v>
      </c>
      <c r="B169" s="58"/>
      <c r="C169" s="58"/>
      <c r="D169" s="58"/>
      <c r="E169" s="155">
        <v>135000</v>
      </c>
      <c r="F169" s="58"/>
      <c r="G169" s="155">
        <v>152400</v>
      </c>
      <c r="H169" s="58"/>
      <c r="I169" s="155">
        <v>152400</v>
      </c>
      <c r="J169" s="58"/>
      <c r="K169" s="155">
        <v>151600</v>
      </c>
      <c r="L169" s="155"/>
      <c r="M169" s="155">
        <v>131250.57999999999</v>
      </c>
      <c r="N169" s="49"/>
      <c r="O169" s="383"/>
      <c r="P169" s="183"/>
      <c r="Q169" s="183"/>
    </row>
    <row r="170" spans="1:17" s="6" customFormat="1" ht="13.8" x14ac:dyDescent="0.25">
      <c r="A170" s="16" t="s">
        <v>576</v>
      </c>
      <c r="B170" s="58"/>
      <c r="C170" s="58"/>
      <c r="D170" s="58"/>
      <c r="E170" s="155">
        <v>13900</v>
      </c>
      <c r="F170" s="58"/>
      <c r="G170" s="155">
        <v>10300</v>
      </c>
      <c r="H170" s="58"/>
      <c r="I170" s="155">
        <v>21850</v>
      </c>
      <c r="J170" s="58"/>
      <c r="K170" s="155">
        <v>14100</v>
      </c>
      <c r="L170" s="155"/>
      <c r="M170" s="155">
        <v>13860</v>
      </c>
      <c r="N170" s="49"/>
      <c r="O170" s="383"/>
      <c r="P170" s="183"/>
      <c r="Q170" s="183"/>
    </row>
    <row r="171" spans="1:17" s="6" customFormat="1" ht="13.8" x14ac:dyDescent="0.25">
      <c r="A171" s="16" t="s">
        <v>707</v>
      </c>
      <c r="B171" s="58"/>
      <c r="C171" s="58"/>
      <c r="D171" s="58"/>
      <c r="E171" s="155">
        <v>38000</v>
      </c>
      <c r="F171" s="58"/>
      <c r="G171" s="155">
        <v>16000</v>
      </c>
      <c r="H171" s="58"/>
      <c r="I171" s="155">
        <v>14250</v>
      </c>
      <c r="J171" s="58"/>
      <c r="K171" s="155">
        <v>16800</v>
      </c>
      <c r="L171" s="155"/>
      <c r="M171" s="155">
        <v>15500</v>
      </c>
      <c r="N171" s="49"/>
      <c r="O171" s="383"/>
      <c r="P171" s="183"/>
      <c r="Q171" s="183"/>
    </row>
    <row r="172" spans="1:17" s="6" customFormat="1" ht="13.8" x14ac:dyDescent="0.25">
      <c r="A172" s="16" t="s">
        <v>577</v>
      </c>
      <c r="B172" s="58"/>
      <c r="C172" s="58"/>
      <c r="D172" s="58"/>
      <c r="E172" s="157">
        <v>-8000</v>
      </c>
      <c r="F172" s="58"/>
      <c r="G172" s="157">
        <v>-8000</v>
      </c>
      <c r="H172" s="58"/>
      <c r="I172" s="157">
        <v>-7500</v>
      </c>
      <c r="J172" s="58"/>
      <c r="K172" s="157">
        <v>-8000</v>
      </c>
      <c r="L172" s="155"/>
      <c r="M172" s="157">
        <v>-6500</v>
      </c>
      <c r="N172" s="49"/>
      <c r="O172" s="383"/>
      <c r="P172" s="183"/>
      <c r="Q172" s="183"/>
    </row>
    <row r="173" spans="1:17" s="6" customFormat="1" ht="14.4" thickBot="1" x14ac:dyDescent="0.3">
      <c r="A173" s="58"/>
      <c r="B173" s="58"/>
      <c r="C173" s="58"/>
      <c r="D173" s="58"/>
      <c r="E173" s="158">
        <f>SUM(E167:E172)</f>
        <v>312614</v>
      </c>
      <c r="F173" s="58"/>
      <c r="G173" s="158">
        <f>SUM(G167:G172)</f>
        <v>281930</v>
      </c>
      <c r="H173" s="58"/>
      <c r="I173" s="158">
        <f>SUM(I167:I172)</f>
        <v>321640</v>
      </c>
      <c r="J173" s="58"/>
      <c r="K173" s="158">
        <f>SUM(K167:K172)</f>
        <v>315480</v>
      </c>
      <c r="L173" s="155"/>
      <c r="M173" s="158">
        <f>SUM(M167:M172)</f>
        <v>255347.69</v>
      </c>
      <c r="N173" s="49"/>
      <c r="O173" s="383"/>
      <c r="P173" s="183"/>
      <c r="Q173" s="183"/>
    </row>
    <row r="174" spans="1:17" s="6" customFormat="1" ht="14.4" thickTop="1" x14ac:dyDescent="0.25">
      <c r="A174" s="58"/>
      <c r="B174" s="58"/>
      <c r="C174" s="58"/>
      <c r="D174" s="58"/>
      <c r="E174" s="155"/>
      <c r="F174" s="58"/>
      <c r="G174" s="155"/>
      <c r="H174" s="58"/>
      <c r="I174" s="155"/>
      <c r="J174" s="58"/>
      <c r="K174" s="155"/>
      <c r="L174" s="155"/>
      <c r="M174" s="155"/>
      <c r="N174" s="99"/>
      <c r="O174" s="383"/>
      <c r="P174" s="183"/>
      <c r="Q174" s="183"/>
    </row>
    <row r="175" spans="1:17" s="6" customFormat="1" x14ac:dyDescent="0.3">
      <c r="A175" s="111" t="s">
        <v>303</v>
      </c>
      <c r="B175" s="92"/>
      <c r="C175" s="58"/>
      <c r="D175" s="58"/>
      <c r="E175" s="155"/>
      <c r="F175" s="58"/>
      <c r="G175" s="155"/>
      <c r="H175" s="58"/>
      <c r="I175" s="155"/>
      <c r="J175" s="58"/>
      <c r="K175" s="155"/>
      <c r="L175" s="155"/>
      <c r="M175" s="155"/>
      <c r="N175" s="99"/>
      <c r="O175" s="383"/>
      <c r="P175" s="183"/>
      <c r="Q175" s="183"/>
    </row>
    <row r="176" spans="1:17" s="6" customFormat="1" ht="13.8" x14ac:dyDescent="0.25">
      <c r="A176" s="16" t="s">
        <v>389</v>
      </c>
      <c r="B176" s="16"/>
      <c r="C176" s="58"/>
      <c r="D176" s="58"/>
      <c r="E176" s="155">
        <v>107000</v>
      </c>
      <c r="F176" s="58"/>
      <c r="G176" s="155">
        <v>107000</v>
      </c>
      <c r="H176" s="58"/>
      <c r="I176" s="155">
        <v>107000</v>
      </c>
      <c r="J176" s="58"/>
      <c r="K176" s="155">
        <v>107000</v>
      </c>
      <c r="L176" s="155"/>
      <c r="M176" s="155">
        <v>112010</v>
      </c>
      <c r="N176" s="99"/>
      <c r="O176" s="383"/>
      <c r="P176" s="183"/>
      <c r="Q176" s="183"/>
    </row>
    <row r="177" spans="1:17" s="6" customFormat="1" ht="13.8" x14ac:dyDescent="0.25">
      <c r="A177" s="16" t="s">
        <v>658</v>
      </c>
      <c r="B177" s="16"/>
      <c r="C177" s="58"/>
      <c r="D177" s="58"/>
      <c r="E177" s="155">
        <v>30965</v>
      </c>
      <c r="F177" s="58"/>
      <c r="G177" s="155">
        <v>30965</v>
      </c>
      <c r="H177" s="58"/>
      <c r="I177" s="155">
        <v>30965</v>
      </c>
      <c r="J177" s="58"/>
      <c r="K177" s="155">
        <v>30965</v>
      </c>
      <c r="L177" s="155"/>
      <c r="M177" s="155">
        <v>30965.02</v>
      </c>
      <c r="N177" s="99"/>
      <c r="O177" s="383"/>
      <c r="P177" s="183"/>
      <c r="Q177" s="183"/>
    </row>
    <row r="178" spans="1:17" s="6" customFormat="1" ht="13.8" x14ac:dyDescent="0.25">
      <c r="A178" s="16" t="s">
        <v>659</v>
      </c>
      <c r="B178" s="16"/>
      <c r="C178" s="58"/>
      <c r="D178" s="58"/>
      <c r="E178" s="155">
        <v>45072</v>
      </c>
      <c r="F178" s="58"/>
      <c r="G178" s="155">
        <v>43050</v>
      </c>
      <c r="H178" s="58"/>
      <c r="I178" s="155">
        <v>43156</v>
      </c>
      <c r="J178" s="58"/>
      <c r="K178" s="155">
        <v>43050</v>
      </c>
      <c r="L178" s="155"/>
      <c r="M178" s="155">
        <v>33503</v>
      </c>
      <c r="N178" s="99"/>
      <c r="O178" s="383"/>
      <c r="P178" s="183"/>
      <c r="Q178" s="183"/>
    </row>
    <row r="179" spans="1:17" s="6" customFormat="1" ht="13.8" x14ac:dyDescent="0.25">
      <c r="A179" s="23" t="s">
        <v>706</v>
      </c>
      <c r="B179" s="23"/>
      <c r="C179" s="60"/>
      <c r="D179" s="60"/>
      <c r="E179" s="155">
        <v>42300</v>
      </c>
      <c r="F179" s="60"/>
      <c r="G179" s="155">
        <v>18920</v>
      </c>
      <c r="H179" s="58"/>
      <c r="I179" s="155">
        <f>18994+5000</f>
        <v>23994</v>
      </c>
      <c r="J179" s="58"/>
      <c r="K179" s="155">
        <v>18920</v>
      </c>
      <c r="L179" s="155"/>
      <c r="M179" s="155">
        <v>17881</v>
      </c>
      <c r="N179" s="372"/>
      <c r="O179" s="383"/>
      <c r="P179" s="183"/>
      <c r="Q179" s="183"/>
    </row>
    <row r="180" spans="1:17" s="6" customFormat="1" ht="13.8" x14ac:dyDescent="0.25">
      <c r="A180" s="16" t="s">
        <v>578</v>
      </c>
      <c r="B180" s="16"/>
      <c r="C180" s="58"/>
      <c r="D180" s="58"/>
      <c r="E180" s="155">
        <v>10000</v>
      </c>
      <c r="F180" s="58"/>
      <c r="G180" s="155">
        <v>10000</v>
      </c>
      <c r="H180" s="58"/>
      <c r="I180" s="155">
        <v>10000</v>
      </c>
      <c r="J180" s="58"/>
      <c r="K180" s="155">
        <v>10000</v>
      </c>
      <c r="L180" s="155"/>
      <c r="M180" s="155">
        <v>0</v>
      </c>
      <c r="N180" s="99"/>
      <c r="O180" s="383"/>
      <c r="P180" s="183"/>
      <c r="Q180" s="183"/>
    </row>
    <row r="181" spans="1:17" s="6" customFormat="1" ht="13.8" x14ac:dyDescent="0.25">
      <c r="A181" s="16" t="s">
        <v>660</v>
      </c>
      <c r="B181" s="16"/>
      <c r="C181" s="58"/>
      <c r="D181" s="58"/>
      <c r="E181" s="155">
        <v>8125</v>
      </c>
      <c r="F181" s="58"/>
      <c r="G181" s="155">
        <v>8125</v>
      </c>
      <c r="H181" s="58"/>
      <c r="I181" s="155">
        <v>8125</v>
      </c>
      <c r="J181" s="58"/>
      <c r="K181" s="155">
        <v>8125</v>
      </c>
      <c r="L181" s="155"/>
      <c r="M181" s="155">
        <v>0</v>
      </c>
      <c r="N181" s="99"/>
      <c r="O181" s="383"/>
      <c r="P181" s="183"/>
      <c r="Q181" s="183"/>
    </row>
    <row r="182" spans="1:17" s="6" customFormat="1" ht="13.8" x14ac:dyDescent="0.25">
      <c r="A182" s="16" t="s">
        <v>661</v>
      </c>
      <c r="B182" s="16"/>
      <c r="C182" s="58"/>
      <c r="D182" s="58"/>
      <c r="E182" s="155">
        <v>8500</v>
      </c>
      <c r="F182" s="58"/>
      <c r="G182" s="155">
        <v>8500</v>
      </c>
      <c r="H182" s="58"/>
      <c r="I182" s="155">
        <v>8500</v>
      </c>
      <c r="J182" s="58"/>
      <c r="K182" s="155">
        <v>8500</v>
      </c>
      <c r="L182" s="155"/>
      <c r="M182" s="155">
        <v>15823</v>
      </c>
      <c r="N182" s="99"/>
      <c r="O182" s="383"/>
      <c r="P182" s="183"/>
      <c r="Q182" s="183"/>
    </row>
    <row r="183" spans="1:17" s="6" customFormat="1" ht="13.8" x14ac:dyDescent="0.25">
      <c r="A183" s="23" t="s">
        <v>662</v>
      </c>
      <c r="B183" s="23"/>
      <c r="C183" s="60"/>
      <c r="D183" s="60"/>
      <c r="E183" s="155">
        <v>33700</v>
      </c>
      <c r="F183" s="58"/>
      <c r="G183" s="155">
        <v>28700</v>
      </c>
      <c r="H183" s="58"/>
      <c r="I183" s="155">
        <v>23700</v>
      </c>
      <c r="J183" s="58"/>
      <c r="K183" s="155">
        <v>28700</v>
      </c>
      <c r="L183" s="155"/>
      <c r="M183" s="155">
        <v>7143</v>
      </c>
      <c r="N183" s="348"/>
      <c r="O183" s="383"/>
      <c r="P183" s="183"/>
      <c r="Q183" s="183"/>
    </row>
    <row r="184" spans="1:17" s="6" customFormat="1" ht="13.8" x14ac:dyDescent="0.25">
      <c r="A184" s="23" t="s">
        <v>663</v>
      </c>
      <c r="B184" s="23"/>
      <c r="C184" s="60"/>
      <c r="D184" s="60"/>
      <c r="E184" s="367">
        <v>5000</v>
      </c>
      <c r="F184" s="58"/>
      <c r="G184" s="155">
        <v>7500</v>
      </c>
      <c r="H184" s="58"/>
      <c r="I184" s="155">
        <v>5000</v>
      </c>
      <c r="J184" s="58"/>
      <c r="K184" s="155">
        <v>7500</v>
      </c>
      <c r="L184" s="155"/>
      <c r="M184" s="155">
        <v>7500</v>
      </c>
      <c r="N184" s="99"/>
      <c r="O184" s="383"/>
      <c r="P184" s="183"/>
      <c r="Q184" s="183"/>
    </row>
    <row r="185" spans="1:17" s="6" customFormat="1" ht="13.8" x14ac:dyDescent="0.25">
      <c r="A185" s="16" t="s">
        <v>691</v>
      </c>
      <c r="B185" s="16"/>
      <c r="C185" s="58"/>
      <c r="D185" s="58"/>
      <c r="E185" s="155">
        <v>10000</v>
      </c>
      <c r="F185" s="58"/>
      <c r="G185" s="155">
        <v>10000</v>
      </c>
      <c r="H185" s="58"/>
      <c r="I185" s="155">
        <v>10000</v>
      </c>
      <c r="J185" s="58"/>
      <c r="K185" s="155">
        <v>10000</v>
      </c>
      <c r="L185" s="155"/>
      <c r="M185" s="155">
        <v>6829</v>
      </c>
      <c r="N185" s="99"/>
      <c r="O185" s="383"/>
      <c r="P185" s="183"/>
      <c r="Q185" s="183"/>
    </row>
    <row r="186" spans="1:17" s="6" customFormat="1" ht="13.8" x14ac:dyDescent="0.25">
      <c r="A186" s="16" t="s">
        <v>664</v>
      </c>
      <c r="B186" s="16"/>
      <c r="C186" s="58"/>
      <c r="D186" s="58"/>
      <c r="E186" s="155">
        <f>65000-425</f>
        <v>64575</v>
      </c>
      <c r="F186" s="58"/>
      <c r="G186" s="155">
        <v>65000</v>
      </c>
      <c r="H186" s="58"/>
      <c r="I186" s="155">
        <v>65000</v>
      </c>
      <c r="J186" s="58"/>
      <c r="K186" s="155">
        <v>65000</v>
      </c>
      <c r="L186" s="155"/>
      <c r="M186" s="155">
        <v>96247</v>
      </c>
      <c r="N186" s="99"/>
      <c r="O186" s="383"/>
      <c r="P186" s="183"/>
      <c r="Q186" s="183"/>
    </row>
    <row r="187" spans="1:17" s="6" customFormat="1" ht="13.8" x14ac:dyDescent="0.25">
      <c r="A187" s="16" t="s">
        <v>579</v>
      </c>
      <c r="B187" s="16"/>
      <c r="C187" s="58"/>
      <c r="D187" s="58"/>
      <c r="E187" s="157">
        <v>0</v>
      </c>
      <c r="F187" s="58"/>
      <c r="G187" s="157">
        <v>0</v>
      </c>
      <c r="H187" s="58"/>
      <c r="I187" s="157">
        <v>0</v>
      </c>
      <c r="J187" s="58"/>
      <c r="K187" s="157">
        <v>0</v>
      </c>
      <c r="L187" s="155"/>
      <c r="M187" s="157">
        <v>15000</v>
      </c>
      <c r="N187" s="99"/>
      <c r="O187" s="383"/>
      <c r="P187" s="183"/>
      <c r="Q187" s="183"/>
    </row>
    <row r="188" spans="1:17" s="6" customFormat="1" ht="14.4" thickBot="1" x14ac:dyDescent="0.3">
      <c r="A188" s="58"/>
      <c r="B188" s="58"/>
      <c r="C188" s="58"/>
      <c r="D188" s="58"/>
      <c r="E188" s="158">
        <f>SUM(E176:E187)</f>
        <v>365237</v>
      </c>
      <c r="F188" s="58"/>
      <c r="G188" s="158">
        <f>SUM(G176:G187)</f>
        <v>337760</v>
      </c>
      <c r="H188" s="58"/>
      <c r="I188" s="158">
        <f>SUM(I176:I187)</f>
        <v>335440</v>
      </c>
      <c r="J188" s="58"/>
      <c r="K188" s="158">
        <f>SUM(K176:K187)</f>
        <v>337760</v>
      </c>
      <c r="L188" s="155"/>
      <c r="M188" s="158">
        <f>SUM(M176:M187)</f>
        <v>342901.02</v>
      </c>
      <c r="N188" s="97"/>
      <c r="O188" s="383"/>
      <c r="P188" s="183"/>
      <c r="Q188" s="183"/>
    </row>
    <row r="189" spans="1:17" s="6" customFormat="1" ht="14.4" thickTop="1" x14ac:dyDescent="0.25">
      <c r="A189" s="58"/>
      <c r="B189" s="58"/>
      <c r="C189" s="58"/>
      <c r="D189" s="58"/>
      <c r="E189" s="99"/>
      <c r="F189" s="58"/>
      <c r="G189" s="99"/>
      <c r="H189" s="58"/>
      <c r="I189" s="99"/>
      <c r="J189" s="58"/>
      <c r="K189" s="99"/>
      <c r="L189" s="49"/>
      <c r="M189" s="97"/>
      <c r="N189" s="99"/>
      <c r="O189" s="383"/>
      <c r="P189" s="183"/>
      <c r="Q189" s="183"/>
    </row>
    <row r="190" spans="1:17" s="6" customFormat="1" ht="13.8" x14ac:dyDescent="0.25">
      <c r="A190" s="56"/>
      <c r="B190" s="56"/>
      <c r="C190" s="55"/>
      <c r="D190" s="55"/>
      <c r="E190" s="99"/>
      <c r="F190" s="55"/>
      <c r="G190" s="99"/>
      <c r="H190" s="55"/>
      <c r="I190" s="99"/>
      <c r="J190" s="55"/>
      <c r="K190" s="99"/>
      <c r="L190" s="83"/>
      <c r="M190" s="99"/>
      <c r="N190" s="99"/>
      <c r="O190" s="383"/>
      <c r="P190" s="183"/>
      <c r="Q190" s="183"/>
    </row>
    <row r="191" spans="1:17" s="6" customFormat="1" x14ac:dyDescent="0.3">
      <c r="A191" s="80" t="s">
        <v>304</v>
      </c>
      <c r="B191" s="91"/>
      <c r="C191" s="81"/>
      <c r="D191" s="81"/>
      <c r="E191" s="159"/>
      <c r="F191" s="81"/>
      <c r="G191" s="159"/>
      <c r="H191" s="81"/>
      <c r="I191" s="159"/>
      <c r="J191" s="81"/>
      <c r="K191" s="159"/>
      <c r="L191" s="88"/>
      <c r="M191" s="99"/>
      <c r="N191" s="272"/>
      <c r="O191" s="383"/>
      <c r="P191" s="183"/>
      <c r="Q191" s="183"/>
    </row>
    <row r="192" spans="1:17" s="6" customFormat="1" ht="13.8" x14ac:dyDescent="0.25">
      <c r="A192" s="16" t="s">
        <v>408</v>
      </c>
      <c r="B192" s="16"/>
      <c r="C192" s="55"/>
      <c r="D192" s="55"/>
      <c r="E192" s="97">
        <v>83750</v>
      </c>
      <c r="F192" s="55"/>
      <c r="G192" s="97">
        <v>66000</v>
      </c>
      <c r="H192" s="58"/>
      <c r="I192" s="97">
        <v>66000</v>
      </c>
      <c r="J192" s="58"/>
      <c r="K192" s="97">
        <v>66000</v>
      </c>
      <c r="L192" s="97"/>
      <c r="M192" s="97">
        <v>47714</v>
      </c>
      <c r="N192" s="348"/>
      <c r="O192" s="383"/>
      <c r="P192" s="183"/>
      <c r="Q192" s="183"/>
    </row>
    <row r="193" spans="1:17" s="6" customFormat="1" ht="13.8" x14ac:dyDescent="0.25">
      <c r="A193" s="16" t="s">
        <v>262</v>
      </c>
      <c r="B193" s="16"/>
      <c r="C193" s="55"/>
      <c r="D193" s="55"/>
      <c r="E193" s="97">
        <v>30000</v>
      </c>
      <c r="F193" s="55"/>
      <c r="G193" s="97">
        <v>25000</v>
      </c>
      <c r="H193" s="58"/>
      <c r="I193" s="97">
        <v>25000</v>
      </c>
      <c r="J193" s="58"/>
      <c r="K193" s="97">
        <v>25000</v>
      </c>
      <c r="L193" s="97"/>
      <c r="M193" s="97">
        <v>21103</v>
      </c>
      <c r="N193" s="348"/>
      <c r="O193" s="383"/>
      <c r="P193" s="183"/>
      <c r="Q193" s="183"/>
    </row>
    <row r="194" spans="1:17" s="6" customFormat="1" ht="15.75" customHeight="1" x14ac:dyDescent="0.25">
      <c r="A194" s="16" t="s">
        <v>165</v>
      </c>
      <c r="B194" s="16"/>
      <c r="C194" s="55"/>
      <c r="D194" s="55"/>
      <c r="E194" s="97">
        <v>3000</v>
      </c>
      <c r="F194" s="55"/>
      <c r="G194" s="97">
        <v>1500</v>
      </c>
      <c r="H194" s="58"/>
      <c r="I194" s="97">
        <v>3000</v>
      </c>
      <c r="J194" s="58"/>
      <c r="K194" s="97">
        <v>1500</v>
      </c>
      <c r="L194" s="97"/>
      <c r="M194" s="97">
        <v>2450</v>
      </c>
      <c r="N194" s="348"/>
      <c r="O194" s="383"/>
      <c r="P194" s="183"/>
      <c r="Q194" s="183"/>
    </row>
    <row r="195" spans="1:17" s="6" customFormat="1" ht="14.4" thickBot="1" x14ac:dyDescent="0.3">
      <c r="A195" s="58"/>
      <c r="B195" s="58"/>
      <c r="C195" s="58"/>
      <c r="D195" s="58"/>
      <c r="E195" s="156">
        <f>SUM(E192:E194)</f>
        <v>116750</v>
      </c>
      <c r="F195" s="58"/>
      <c r="G195" s="156">
        <f>SUM(G192:G194)</f>
        <v>92500</v>
      </c>
      <c r="H195" s="58"/>
      <c r="I195" s="156">
        <f>SUM(I192:I194)</f>
        <v>94000</v>
      </c>
      <c r="J195" s="58"/>
      <c r="K195" s="156">
        <f>SUM(K192:K194)</f>
        <v>92500</v>
      </c>
      <c r="L195" s="156"/>
      <c r="M195" s="156">
        <f>SUM(M192:M194)</f>
        <v>71267</v>
      </c>
      <c r="N195" s="99"/>
      <c r="O195" s="383"/>
      <c r="P195" s="183"/>
      <c r="Q195" s="183"/>
    </row>
    <row r="196" spans="1:17" s="6" customFormat="1" ht="14.4" thickTop="1" x14ac:dyDescent="0.25">
      <c r="A196" s="58"/>
      <c r="B196" s="58"/>
      <c r="C196" s="58"/>
      <c r="D196" s="58"/>
      <c r="E196" s="99"/>
      <c r="F196" s="58"/>
      <c r="G196" s="99"/>
      <c r="H196" s="58"/>
      <c r="I196" s="99"/>
      <c r="J196" s="58"/>
      <c r="K196" s="99"/>
      <c r="L196" s="49"/>
      <c r="M196" s="97"/>
      <c r="N196" s="97"/>
      <c r="O196" s="383"/>
      <c r="P196" s="183"/>
      <c r="Q196" s="183"/>
    </row>
    <row r="197" spans="1:17" s="6" customFormat="1" ht="13.8" x14ac:dyDescent="0.25">
      <c r="A197" s="15" t="s">
        <v>417</v>
      </c>
      <c r="B197" s="58"/>
      <c r="C197" s="58"/>
      <c r="D197" s="58"/>
      <c r="E197" s="99"/>
      <c r="F197" s="58"/>
      <c r="G197" s="99"/>
      <c r="H197" s="58"/>
      <c r="I197" s="99"/>
      <c r="J197" s="58"/>
      <c r="K197" s="99"/>
      <c r="L197" s="49"/>
      <c r="M197" s="97"/>
      <c r="N197" s="99"/>
      <c r="O197" s="383"/>
      <c r="P197" s="183"/>
      <c r="Q197" s="183"/>
    </row>
    <row r="198" spans="1:17" s="6" customFormat="1" ht="13.8" x14ac:dyDescent="0.25">
      <c r="A198" s="16" t="s">
        <v>339</v>
      </c>
      <c r="B198" s="58"/>
      <c r="C198" s="58"/>
      <c r="D198" s="58"/>
      <c r="E198" s="99">
        <v>128100</v>
      </c>
      <c r="F198" s="58"/>
      <c r="G198" s="99">
        <v>117750</v>
      </c>
      <c r="H198" s="58"/>
      <c r="I198" s="99">
        <v>128700</v>
      </c>
      <c r="J198" s="58"/>
      <c r="K198" s="99">
        <v>117750</v>
      </c>
      <c r="L198" s="49"/>
      <c r="M198" s="99">
        <f>19479+0.4</f>
        <v>19479.400000000001</v>
      </c>
      <c r="N198" s="99"/>
      <c r="O198" s="383"/>
      <c r="P198" s="183"/>
      <c r="Q198" s="183"/>
    </row>
    <row r="199" spans="1:17" s="6" customFormat="1" ht="13.8" x14ac:dyDescent="0.25">
      <c r="A199" s="16" t="s">
        <v>502</v>
      </c>
      <c r="B199" s="58"/>
      <c r="C199" s="58"/>
      <c r="D199" s="58"/>
      <c r="E199" s="99">
        <v>17000</v>
      </c>
      <c r="F199" s="58"/>
      <c r="G199" s="99">
        <v>11900</v>
      </c>
      <c r="H199" s="58"/>
      <c r="I199" s="99">
        <v>16979</v>
      </c>
      <c r="J199" s="58"/>
      <c r="K199" s="99">
        <v>11900</v>
      </c>
      <c r="L199" s="49"/>
      <c r="M199" s="99">
        <f>22750+0.4</f>
        <v>22750.400000000001</v>
      </c>
      <c r="N199" s="99"/>
      <c r="O199" s="383"/>
      <c r="P199" s="183"/>
      <c r="Q199" s="183"/>
    </row>
    <row r="200" spans="1:17" s="6" customFormat="1" ht="13.8" x14ac:dyDescent="0.25">
      <c r="A200" s="16" t="s">
        <v>665</v>
      </c>
      <c r="B200" s="58"/>
      <c r="C200" s="58"/>
      <c r="D200" s="58"/>
      <c r="E200" s="99">
        <v>15000</v>
      </c>
      <c r="F200" s="58"/>
      <c r="G200" s="99">
        <v>24900</v>
      </c>
      <c r="H200" s="58"/>
      <c r="I200" s="99">
        <v>13835</v>
      </c>
      <c r="J200" s="58"/>
      <c r="K200" s="99">
        <v>24900</v>
      </c>
      <c r="L200" s="49"/>
      <c r="M200" s="99">
        <v>0</v>
      </c>
      <c r="N200" s="99"/>
      <c r="O200" s="383"/>
      <c r="P200" s="183"/>
      <c r="Q200" s="183"/>
    </row>
    <row r="201" spans="1:17" s="6" customFormat="1" ht="13.8" x14ac:dyDescent="0.25">
      <c r="A201" s="16" t="s">
        <v>537</v>
      </c>
      <c r="B201" s="58"/>
      <c r="C201" s="58"/>
      <c r="D201" s="58"/>
      <c r="E201" s="99">
        <v>51300</v>
      </c>
      <c r="F201" s="58"/>
      <c r="G201" s="99">
        <v>51300</v>
      </c>
      <c r="H201" s="58"/>
      <c r="I201" s="99">
        <v>46935</v>
      </c>
      <c r="J201" s="58"/>
      <c r="K201" s="99">
        <v>51300</v>
      </c>
      <c r="L201" s="49"/>
      <c r="M201" s="99">
        <v>39755</v>
      </c>
      <c r="N201" s="99"/>
      <c r="O201" s="383"/>
      <c r="P201" s="183"/>
      <c r="Q201" s="183"/>
    </row>
    <row r="202" spans="1:17" x14ac:dyDescent="0.3">
      <c r="A202" s="16" t="s">
        <v>603</v>
      </c>
      <c r="E202" s="99">
        <v>48800</v>
      </c>
      <c r="G202" s="99">
        <v>48800</v>
      </c>
      <c r="I202" s="99">
        <v>47100</v>
      </c>
      <c r="K202" s="99">
        <v>48800</v>
      </c>
      <c r="L202" s="49"/>
      <c r="M202" s="99">
        <v>15708.4</v>
      </c>
    </row>
    <row r="203" spans="1:17" s="6" customFormat="1" ht="14.4" thickBot="1" x14ac:dyDescent="0.3">
      <c r="A203" s="15"/>
      <c r="B203" s="58"/>
      <c r="C203" s="58"/>
      <c r="D203" s="58"/>
      <c r="E203" s="156">
        <f>SUM(E198:E202)</f>
        <v>260200</v>
      </c>
      <c r="F203" s="58"/>
      <c r="G203" s="156">
        <f>SUM(G198:G202)</f>
        <v>254650</v>
      </c>
      <c r="H203" s="58"/>
      <c r="I203" s="156">
        <f>SUM(I198:I202)</f>
        <v>253549</v>
      </c>
      <c r="J203" s="58"/>
      <c r="K203" s="156">
        <f t="shared" ref="K203:M203" si="4">SUM(K198:K202)</f>
        <v>254650</v>
      </c>
      <c r="L203" s="156">
        <f t="shared" si="4"/>
        <v>0</v>
      </c>
      <c r="M203" s="156">
        <f t="shared" si="4"/>
        <v>97693.2</v>
      </c>
      <c r="N203" s="99"/>
      <c r="O203" s="383"/>
      <c r="P203" s="183"/>
      <c r="Q203" s="183"/>
    </row>
    <row r="204" spans="1:17" s="6" customFormat="1" ht="14.4" thickTop="1" x14ac:dyDescent="0.25">
      <c r="A204" s="58"/>
      <c r="B204" s="58"/>
      <c r="C204" s="58"/>
      <c r="D204" s="58"/>
      <c r="E204" s="99"/>
      <c r="F204" s="58"/>
      <c r="G204" s="99"/>
      <c r="H204" s="58"/>
      <c r="I204" s="99"/>
      <c r="J204" s="58"/>
      <c r="K204" s="99"/>
      <c r="L204" s="49"/>
      <c r="M204" s="97"/>
      <c r="N204" s="99"/>
      <c r="O204" s="383"/>
      <c r="P204" s="183"/>
      <c r="Q204" s="183"/>
    </row>
    <row r="205" spans="1:17" s="6" customFormat="1" ht="13.8" x14ac:dyDescent="0.25">
      <c r="A205" s="111" t="s">
        <v>622</v>
      </c>
      <c r="B205" s="58"/>
      <c r="C205" s="58"/>
      <c r="D205" s="58"/>
      <c r="E205" s="99"/>
      <c r="F205" s="58"/>
      <c r="G205" s="99"/>
      <c r="H205" s="58"/>
      <c r="J205" s="58"/>
      <c r="K205" s="99"/>
      <c r="L205" s="49"/>
      <c r="M205" s="97"/>
      <c r="N205" s="99"/>
      <c r="O205" s="383"/>
      <c r="P205" s="183"/>
      <c r="Q205" s="183"/>
    </row>
    <row r="206" spans="1:17" s="6" customFormat="1" ht="13.8" x14ac:dyDescent="0.25">
      <c r="A206" s="16" t="s">
        <v>623</v>
      </c>
      <c r="B206" s="58"/>
      <c r="C206" s="58"/>
      <c r="D206" s="58"/>
      <c r="E206" s="97">
        <v>0</v>
      </c>
      <c r="F206" s="58"/>
      <c r="G206" s="97">
        <v>18800</v>
      </c>
      <c r="H206" s="58"/>
      <c r="I206" s="97">
        <v>18800</v>
      </c>
      <c r="J206" s="58"/>
      <c r="K206" s="97">
        <v>18800</v>
      </c>
      <c r="L206" s="97"/>
      <c r="M206" s="97">
        <v>14944</v>
      </c>
      <c r="N206" s="99"/>
      <c r="O206" s="383"/>
      <c r="P206" s="183"/>
      <c r="Q206" s="183"/>
    </row>
    <row r="207" spans="1:17" s="6" customFormat="1" ht="13.8" x14ac:dyDescent="0.25">
      <c r="A207" s="16" t="s">
        <v>537</v>
      </c>
      <c r="B207" s="58"/>
      <c r="C207" s="58"/>
      <c r="D207" s="58"/>
      <c r="E207" s="97">
        <v>0</v>
      </c>
      <c r="F207" s="58"/>
      <c r="G207" s="97">
        <v>7575</v>
      </c>
      <c r="H207" s="58"/>
      <c r="I207" s="97">
        <v>6875</v>
      </c>
      <c r="J207" s="58"/>
      <c r="K207" s="97">
        <v>7575</v>
      </c>
      <c r="L207" s="97"/>
      <c r="M207" s="97">
        <v>7365</v>
      </c>
      <c r="N207" s="99"/>
      <c r="O207" s="383"/>
      <c r="P207" s="183"/>
      <c r="Q207" s="183"/>
    </row>
    <row r="208" spans="1:17" s="6" customFormat="1" ht="13.8" x14ac:dyDescent="0.25">
      <c r="A208" s="16" t="s">
        <v>624</v>
      </c>
      <c r="B208" s="58"/>
      <c r="C208" s="58"/>
      <c r="D208" s="58"/>
      <c r="E208" s="157">
        <v>0</v>
      </c>
      <c r="F208" s="58"/>
      <c r="G208" s="157">
        <v>5775</v>
      </c>
      <c r="H208" s="58"/>
      <c r="I208" s="157">
        <v>7500</v>
      </c>
      <c r="J208" s="58"/>
      <c r="K208" s="157">
        <v>5775</v>
      </c>
      <c r="L208" s="157"/>
      <c r="M208" s="157">
        <v>5455</v>
      </c>
      <c r="N208" s="99"/>
      <c r="O208" s="383"/>
      <c r="P208" s="183"/>
      <c r="Q208" s="183"/>
    </row>
    <row r="209" spans="1:17" s="6" customFormat="1" ht="14.4" thickBot="1" x14ac:dyDescent="0.3">
      <c r="A209" s="17"/>
      <c r="B209" s="58"/>
      <c r="C209" s="58"/>
      <c r="D209" s="58"/>
      <c r="E209" s="156">
        <f>SUM(E206:E208)</f>
        <v>0</v>
      </c>
      <c r="F209" s="58"/>
      <c r="G209" s="156">
        <f>SUM(G206:G208)</f>
        <v>32150</v>
      </c>
      <c r="H209" s="58"/>
      <c r="I209" s="156">
        <f>SUM(I206:I208)</f>
        <v>33175</v>
      </c>
      <c r="J209" s="58"/>
      <c r="K209" s="156">
        <f>SUM(K206:K208)</f>
        <v>32150</v>
      </c>
      <c r="L209" s="156"/>
      <c r="M209" s="156">
        <f>SUM(M206:M208)</f>
        <v>27764</v>
      </c>
      <c r="N209" s="99"/>
      <c r="O209" s="383"/>
      <c r="P209" s="183"/>
      <c r="Q209" s="183"/>
    </row>
    <row r="210" spans="1:17" s="6" customFormat="1" ht="14.4" thickTop="1" x14ac:dyDescent="0.25">
      <c r="A210" s="17"/>
      <c r="B210" s="58"/>
      <c r="C210" s="58"/>
      <c r="D210" s="58"/>
      <c r="E210" s="99"/>
      <c r="F210" s="58"/>
      <c r="G210" s="99"/>
      <c r="H210" s="58"/>
      <c r="I210" s="99"/>
      <c r="J210" s="58"/>
      <c r="K210" s="59"/>
      <c r="L210" s="49"/>
      <c r="M210" s="97"/>
      <c r="N210" s="99"/>
      <c r="O210" s="383"/>
      <c r="P210" s="183"/>
      <c r="Q210" s="183"/>
    </row>
    <row r="211" spans="1:17" s="6" customFormat="1" ht="13.8" x14ac:dyDescent="0.25">
      <c r="A211" s="15" t="s">
        <v>625</v>
      </c>
      <c r="B211" s="58"/>
      <c r="C211" s="58"/>
      <c r="D211" s="58"/>
      <c r="E211" s="99"/>
      <c r="F211" s="58"/>
      <c r="G211" s="99"/>
      <c r="H211" s="58"/>
      <c r="I211" s="99"/>
      <c r="J211" s="58"/>
      <c r="L211" s="49"/>
      <c r="M211" s="97"/>
      <c r="N211" s="99"/>
      <c r="O211" s="383"/>
      <c r="P211" s="183"/>
      <c r="Q211" s="183"/>
    </row>
    <row r="212" spans="1:17" s="6" customFormat="1" ht="13.8" x14ac:dyDescent="0.25">
      <c r="A212" s="16" t="s">
        <v>339</v>
      </c>
      <c r="B212" s="58"/>
      <c r="C212" s="58"/>
      <c r="D212" s="58"/>
      <c r="E212" s="97">
        <v>15000</v>
      </c>
      <c r="F212" s="58"/>
      <c r="G212" s="97">
        <v>17350</v>
      </c>
      <c r="H212" s="58"/>
      <c r="I212" s="97">
        <v>15000</v>
      </c>
      <c r="J212" s="58"/>
      <c r="K212" s="97">
        <v>17350</v>
      </c>
      <c r="L212" s="97"/>
      <c r="M212" s="97">
        <v>0</v>
      </c>
      <c r="N212" s="99"/>
      <c r="O212" s="383"/>
      <c r="P212" s="183"/>
      <c r="Q212" s="183"/>
    </row>
    <row r="213" spans="1:17" s="6" customFormat="1" ht="13.8" x14ac:dyDescent="0.25">
      <c r="A213" s="16" t="s">
        <v>626</v>
      </c>
      <c r="B213" s="58"/>
      <c r="C213" s="58"/>
      <c r="D213" s="58"/>
      <c r="E213" s="97">
        <v>5000</v>
      </c>
      <c r="F213" s="58"/>
      <c r="G213" s="97">
        <v>3280</v>
      </c>
      <c r="H213" s="58"/>
      <c r="I213" s="97">
        <v>5000</v>
      </c>
      <c r="J213" s="58"/>
      <c r="K213" s="97">
        <v>3280</v>
      </c>
      <c r="L213" s="97"/>
      <c r="M213" s="97">
        <v>0</v>
      </c>
      <c r="N213" s="99"/>
      <c r="O213" s="383"/>
      <c r="P213" s="183"/>
      <c r="Q213" s="183"/>
    </row>
    <row r="214" spans="1:17" s="6" customFormat="1" ht="13.8" x14ac:dyDescent="0.25">
      <c r="A214" s="16" t="s">
        <v>537</v>
      </c>
      <c r="B214" s="58"/>
      <c r="C214" s="58"/>
      <c r="D214" s="58"/>
      <c r="E214" s="97">
        <v>2000</v>
      </c>
      <c r="F214" s="58"/>
      <c r="G214" s="97">
        <v>1970</v>
      </c>
      <c r="H214" s="58"/>
      <c r="I214" s="97">
        <v>1970</v>
      </c>
      <c r="J214" s="58"/>
      <c r="K214" s="97">
        <v>1970</v>
      </c>
      <c r="L214" s="97"/>
      <c r="M214" s="97">
        <v>0</v>
      </c>
      <c r="N214" s="99"/>
      <c r="O214" s="383"/>
      <c r="P214" s="183"/>
      <c r="Q214" s="183"/>
    </row>
    <row r="215" spans="1:17" s="6" customFormat="1" ht="13.8" x14ac:dyDescent="0.25">
      <c r="A215" s="16" t="s">
        <v>624</v>
      </c>
      <c r="B215" s="58"/>
      <c r="C215" s="58"/>
      <c r="D215" s="58"/>
      <c r="E215" s="157">
        <v>3500</v>
      </c>
      <c r="F215" s="58"/>
      <c r="G215" s="157">
        <v>3400</v>
      </c>
      <c r="H215" s="58"/>
      <c r="I215" s="157">
        <v>3400</v>
      </c>
      <c r="J215" s="58"/>
      <c r="K215" s="157">
        <v>3400</v>
      </c>
      <c r="L215" s="97"/>
      <c r="M215" s="157">
        <v>0</v>
      </c>
      <c r="N215" s="99"/>
      <c r="O215" s="383"/>
      <c r="P215" s="183"/>
      <c r="Q215" s="183"/>
    </row>
    <row r="216" spans="1:17" s="6" customFormat="1" ht="16.2" thickBot="1" x14ac:dyDescent="0.35">
      <c r="A216"/>
      <c r="B216" s="58"/>
      <c r="C216" s="58"/>
      <c r="D216" s="58"/>
      <c r="E216" s="156">
        <f>SUM(E212:E215)</f>
        <v>25500</v>
      </c>
      <c r="F216" s="58"/>
      <c r="G216" s="156">
        <f>SUM(G212:G215)</f>
        <v>26000</v>
      </c>
      <c r="H216" s="58"/>
      <c r="I216" s="156">
        <f>SUM(I212:I215)</f>
        <v>25370</v>
      </c>
      <c r="J216" s="58"/>
      <c r="K216" s="156">
        <f>SUM(K212:K215)</f>
        <v>26000</v>
      </c>
      <c r="L216" s="97"/>
      <c r="M216" s="156">
        <v>0</v>
      </c>
      <c r="N216" s="99"/>
      <c r="O216" s="383"/>
      <c r="P216" s="183"/>
      <c r="Q216" s="183"/>
    </row>
    <row r="217" spans="1:17" s="6" customFormat="1" ht="17.399999999999999" thickTop="1" x14ac:dyDescent="0.3">
      <c r="A217" s="89"/>
      <c r="B217" s="58"/>
      <c r="C217" s="58"/>
      <c r="D217" s="58"/>
      <c r="E217" s="99"/>
      <c r="F217" s="58"/>
      <c r="G217" s="99"/>
      <c r="H217" s="58"/>
      <c r="I217" s="99"/>
      <c r="J217" s="58"/>
      <c r="K217" s="99"/>
      <c r="L217" s="49"/>
      <c r="M217" s="97"/>
      <c r="N217" s="99"/>
      <c r="O217" s="383"/>
      <c r="P217" s="183"/>
      <c r="Q217" s="183"/>
    </row>
    <row r="218" spans="1:17" s="6" customFormat="1" x14ac:dyDescent="0.3">
      <c r="A218" s="15" t="s">
        <v>305</v>
      </c>
      <c r="B218" s="82"/>
      <c r="C218" s="58"/>
      <c r="D218" s="58"/>
      <c r="E218" s="99"/>
      <c r="F218" s="58"/>
      <c r="G218" s="99"/>
      <c r="H218" s="58"/>
      <c r="I218" s="99"/>
      <c r="J218" s="58"/>
      <c r="K218" s="99"/>
      <c r="L218" s="49"/>
      <c r="M218" s="97"/>
      <c r="N218" s="99"/>
      <c r="O218" s="383"/>
      <c r="P218" s="183"/>
      <c r="Q218" s="183"/>
    </row>
    <row r="219" spans="1:17" s="6" customFormat="1" ht="13.8" x14ac:dyDescent="0.25">
      <c r="A219" s="16" t="s">
        <v>420</v>
      </c>
      <c r="B219" s="16"/>
      <c r="C219" s="58"/>
      <c r="D219" s="58"/>
      <c r="E219" s="99">
        <v>30055</v>
      </c>
      <c r="F219" s="58"/>
      <c r="G219" s="99">
        <v>36055</v>
      </c>
      <c r="H219" s="58"/>
      <c r="I219" s="99">
        <v>36055</v>
      </c>
      <c r="J219" s="58"/>
      <c r="K219" s="99">
        <v>36055</v>
      </c>
      <c r="L219" s="99"/>
      <c r="M219" s="99">
        <v>0</v>
      </c>
      <c r="N219" s="99"/>
      <c r="O219" s="383"/>
      <c r="P219" s="183"/>
      <c r="Q219" s="183"/>
    </row>
    <row r="220" spans="1:17" s="6" customFormat="1" ht="13.8" x14ac:dyDescent="0.25">
      <c r="A220" s="16" t="s">
        <v>421</v>
      </c>
      <c r="B220" s="16"/>
      <c r="C220" s="58"/>
      <c r="D220" s="58"/>
      <c r="E220" s="97">
        <v>11200</v>
      </c>
      <c r="F220" s="58"/>
      <c r="G220" s="97">
        <v>12000</v>
      </c>
      <c r="H220" s="58"/>
      <c r="I220" s="97">
        <v>5000</v>
      </c>
      <c r="J220" s="58"/>
      <c r="K220" s="97">
        <v>12000</v>
      </c>
      <c r="L220" s="97"/>
      <c r="M220" s="97">
        <v>12456</v>
      </c>
      <c r="N220" s="99"/>
      <c r="O220" s="383"/>
      <c r="P220" s="183"/>
      <c r="Q220" s="183"/>
    </row>
    <row r="221" spans="1:17" s="6" customFormat="1" ht="13.8" x14ac:dyDescent="0.25">
      <c r="A221" s="16" t="s">
        <v>422</v>
      </c>
      <c r="B221" s="16"/>
      <c r="C221" s="58"/>
      <c r="D221" s="58"/>
      <c r="E221" s="97">
        <v>32010</v>
      </c>
      <c r="F221" s="58"/>
      <c r="G221" s="97">
        <v>10780</v>
      </c>
      <c r="H221" s="58"/>
      <c r="I221" s="97">
        <v>14000</v>
      </c>
      <c r="J221" s="58"/>
      <c r="K221" s="97">
        <v>10780</v>
      </c>
      <c r="L221" s="97"/>
      <c r="M221" s="97">
        <f>9927.96+0.4</f>
        <v>9928.3599999999988</v>
      </c>
      <c r="N221" s="99"/>
      <c r="O221" s="383"/>
      <c r="P221" s="183"/>
      <c r="Q221" s="183"/>
    </row>
    <row r="222" spans="1:17" s="6" customFormat="1" ht="13.8" x14ac:dyDescent="0.25">
      <c r="A222" s="16" t="s">
        <v>603</v>
      </c>
      <c r="B222" s="16"/>
      <c r="C222" s="58"/>
      <c r="D222" s="58"/>
      <c r="E222" s="157">
        <v>31235</v>
      </c>
      <c r="F222" s="58"/>
      <c r="G222" s="157">
        <v>48485</v>
      </c>
      <c r="H222" s="58"/>
      <c r="I222" s="157">
        <v>37700</v>
      </c>
      <c r="J222" s="58"/>
      <c r="K222" s="157">
        <v>48485</v>
      </c>
      <c r="L222" s="157"/>
      <c r="M222" s="157">
        <v>40000</v>
      </c>
      <c r="N222" s="99"/>
      <c r="O222" s="383"/>
      <c r="P222" s="183"/>
      <c r="Q222" s="183"/>
    </row>
    <row r="223" spans="1:17" s="6" customFormat="1" ht="14.4" thickBot="1" x14ac:dyDescent="0.3">
      <c r="A223" s="58"/>
      <c r="B223" s="58"/>
      <c r="C223" s="58"/>
      <c r="D223" s="58"/>
      <c r="E223" s="156">
        <f>SUM(E219:E222)</f>
        <v>104500</v>
      </c>
      <c r="F223" s="58"/>
      <c r="G223" s="156">
        <f>SUM(G219:G222)</f>
        <v>107320</v>
      </c>
      <c r="H223" s="58"/>
      <c r="I223" s="156">
        <f>SUM(I219:I222)</f>
        <v>92755</v>
      </c>
      <c r="J223" s="58"/>
      <c r="K223" s="156">
        <f>SUM(K219:K222)</f>
        <v>107320</v>
      </c>
      <c r="L223" s="156"/>
      <c r="M223" s="156">
        <f>SUM(M219:M222)</f>
        <v>62384.36</v>
      </c>
      <c r="N223" s="99"/>
      <c r="O223" s="383"/>
      <c r="P223" s="183"/>
      <c r="Q223" s="183"/>
    </row>
    <row r="224" spans="1:17" s="6" customFormat="1" ht="14.4" thickTop="1" x14ac:dyDescent="0.25">
      <c r="A224" s="58"/>
      <c r="B224" s="58"/>
      <c r="C224" s="58"/>
      <c r="D224" s="58"/>
      <c r="E224" s="17"/>
      <c r="F224" s="58"/>
      <c r="G224" s="17"/>
      <c r="H224" s="58"/>
      <c r="I224" s="17"/>
      <c r="J224" s="58"/>
      <c r="K224" s="99"/>
      <c r="L224" s="49"/>
      <c r="M224" s="97"/>
      <c r="N224" s="99"/>
      <c r="O224" s="383"/>
      <c r="P224" s="183"/>
      <c r="Q224" s="183"/>
    </row>
    <row r="225" spans="1:17" s="6" customFormat="1" ht="13.8" x14ac:dyDescent="0.25">
      <c r="A225" s="58"/>
      <c r="B225" s="58"/>
      <c r="C225" s="58"/>
      <c r="D225" s="58"/>
      <c r="E225" s="99"/>
      <c r="F225" s="58"/>
      <c r="G225" s="99"/>
      <c r="H225" s="58"/>
      <c r="I225" s="99"/>
      <c r="J225" s="58"/>
      <c r="K225" s="99"/>
      <c r="L225" s="49"/>
      <c r="M225" s="97"/>
      <c r="N225" s="99"/>
      <c r="O225" s="383"/>
      <c r="P225" s="183"/>
      <c r="Q225" s="183"/>
    </row>
    <row r="226" spans="1:17" s="6" customFormat="1" ht="14.4" thickBot="1" x14ac:dyDescent="0.3">
      <c r="A226" s="15" t="s">
        <v>90</v>
      </c>
      <c r="B226" s="15"/>
      <c r="C226" s="58"/>
      <c r="D226" s="58"/>
      <c r="E226" s="116">
        <v>10000</v>
      </c>
      <c r="F226" s="58"/>
      <c r="G226" s="116">
        <v>10000</v>
      </c>
      <c r="H226" s="58"/>
      <c r="I226" s="116">
        <v>10000</v>
      </c>
      <c r="J226" s="58"/>
      <c r="K226" s="116">
        <v>10000</v>
      </c>
      <c r="L226" s="115"/>
      <c r="M226" s="116">
        <v>0</v>
      </c>
      <c r="N226" s="99"/>
      <c r="O226" s="383"/>
      <c r="P226" s="183"/>
      <c r="Q226" s="183"/>
    </row>
    <row r="227" spans="1:17" s="6" customFormat="1" ht="14.4" thickTop="1" x14ac:dyDescent="0.25">
      <c r="A227" s="58"/>
      <c r="B227" s="58"/>
      <c r="C227" s="58"/>
      <c r="D227" s="58"/>
      <c r="E227" s="99"/>
      <c r="F227" s="58"/>
      <c r="G227" s="99"/>
      <c r="H227" s="58"/>
      <c r="I227" s="99"/>
      <c r="J227" s="58"/>
      <c r="K227" s="99"/>
      <c r="L227" s="49"/>
      <c r="M227" s="97"/>
      <c r="N227" s="99"/>
      <c r="O227" s="383"/>
      <c r="P227" s="183"/>
      <c r="Q227" s="183"/>
    </row>
    <row r="228" spans="1:17" s="6" customFormat="1" ht="17.399999999999999" x14ac:dyDescent="0.35">
      <c r="A228" s="190" t="s">
        <v>226</v>
      </c>
      <c r="B228" s="93"/>
      <c r="C228" s="58"/>
      <c r="D228" s="58"/>
      <c r="E228" s="159"/>
      <c r="F228" s="58"/>
      <c r="G228" s="159"/>
      <c r="H228" s="58"/>
      <c r="J228" s="58"/>
      <c r="K228" s="159"/>
      <c r="L228" s="49"/>
      <c r="M228" s="97"/>
      <c r="N228" s="99"/>
      <c r="O228" s="383"/>
      <c r="P228" s="183"/>
      <c r="Q228" s="183"/>
    </row>
    <row r="229" spans="1:17" s="6" customFormat="1" ht="13.8" x14ac:dyDescent="0.25">
      <c r="A229" s="17" t="s">
        <v>259</v>
      </c>
      <c r="B229" s="17"/>
      <c r="C229" s="58"/>
      <c r="D229" s="58"/>
      <c r="E229" s="99">
        <v>200</v>
      </c>
      <c r="F229" s="58"/>
      <c r="G229" s="99">
        <v>200</v>
      </c>
      <c r="H229" s="58"/>
      <c r="I229" s="99">
        <v>200</v>
      </c>
      <c r="J229" s="58"/>
      <c r="K229" s="99">
        <v>200</v>
      </c>
      <c r="L229" s="97"/>
      <c r="M229" s="97">
        <v>156</v>
      </c>
      <c r="N229" s="272"/>
      <c r="O229" s="383"/>
      <c r="P229" s="183"/>
      <c r="Q229" s="183"/>
    </row>
    <row r="230" spans="1:17" s="6" customFormat="1" ht="13.8" x14ac:dyDescent="0.25">
      <c r="A230" s="17" t="s">
        <v>167</v>
      </c>
      <c r="B230" s="17"/>
      <c r="C230" s="58"/>
      <c r="D230" s="58"/>
      <c r="E230" s="117">
        <v>-2500</v>
      </c>
      <c r="F230" s="58"/>
      <c r="G230" s="117">
        <v>-2500</v>
      </c>
      <c r="H230" s="58"/>
      <c r="I230" s="117">
        <v>-2500</v>
      </c>
      <c r="J230" s="58"/>
      <c r="K230" s="117">
        <v>-2500</v>
      </c>
      <c r="L230" s="97"/>
      <c r="M230" s="157">
        <v>-2651</v>
      </c>
      <c r="N230" s="99"/>
      <c r="O230" s="383"/>
      <c r="P230" s="183"/>
      <c r="Q230" s="183"/>
    </row>
    <row r="231" spans="1:17" s="6" customFormat="1" ht="14.4" thickBot="1" x14ac:dyDescent="0.3">
      <c r="A231" s="58"/>
      <c r="B231" s="58"/>
      <c r="C231" s="58"/>
      <c r="D231" s="58"/>
      <c r="E231" s="116">
        <v>-2300</v>
      </c>
      <c r="F231" s="58"/>
      <c r="G231" s="116">
        <v>-2300</v>
      </c>
      <c r="H231" s="58"/>
      <c r="I231" s="116">
        <f>SUM(I229:I230)</f>
        <v>-2300</v>
      </c>
      <c r="J231" s="58"/>
      <c r="K231" s="116">
        <f>SUM(K229:K230)</f>
        <v>-2300</v>
      </c>
      <c r="L231" s="97"/>
      <c r="M231" s="156">
        <f>SUM(M229:M230)</f>
        <v>-2495</v>
      </c>
      <c r="N231" s="99"/>
      <c r="O231" s="383"/>
      <c r="P231" s="183"/>
      <c r="Q231" s="183"/>
    </row>
    <row r="232" spans="1:17" s="6" customFormat="1" ht="14.4" thickTop="1" x14ac:dyDescent="0.25">
      <c r="A232" s="58"/>
      <c r="B232" s="58"/>
      <c r="C232" s="58"/>
      <c r="D232" s="58"/>
      <c r="E232" s="99"/>
      <c r="F232" s="58"/>
      <c r="G232" s="99"/>
      <c r="H232" s="58"/>
      <c r="I232" s="99"/>
      <c r="J232" s="58"/>
      <c r="K232" s="99"/>
      <c r="L232" s="97"/>
      <c r="M232" s="97"/>
      <c r="N232" s="99"/>
      <c r="O232" s="383"/>
      <c r="P232" s="183"/>
      <c r="Q232" s="183"/>
    </row>
    <row r="233" spans="1:17" s="6" customFormat="1" x14ac:dyDescent="0.3">
      <c r="A233" s="111" t="s">
        <v>259</v>
      </c>
      <c r="B233" s="92"/>
      <c r="C233" s="58"/>
      <c r="D233" s="58"/>
      <c r="E233" s="99"/>
      <c r="F233" s="58"/>
      <c r="G233" s="99"/>
      <c r="H233" s="58"/>
      <c r="I233" s="99"/>
      <c r="J233" s="58"/>
      <c r="K233" s="99"/>
      <c r="L233" s="97"/>
      <c r="M233" s="97"/>
      <c r="N233" s="99"/>
      <c r="O233" s="383"/>
      <c r="P233" s="183"/>
      <c r="Q233" s="183"/>
    </row>
    <row r="234" spans="1:17" s="6" customFormat="1" ht="14.4" thickBot="1" x14ac:dyDescent="0.3">
      <c r="A234" s="16" t="s">
        <v>168</v>
      </c>
      <c r="B234" s="16"/>
      <c r="C234" s="58"/>
      <c r="D234" s="58"/>
      <c r="E234" s="116">
        <v>200</v>
      </c>
      <c r="F234" s="58"/>
      <c r="G234" s="116">
        <v>200</v>
      </c>
      <c r="H234" s="58"/>
      <c r="I234" s="116">
        <f>I229</f>
        <v>200</v>
      </c>
      <c r="J234" s="58"/>
      <c r="K234" s="116">
        <v>200</v>
      </c>
      <c r="L234" s="97"/>
      <c r="M234" s="158">
        <v>156</v>
      </c>
      <c r="N234" s="99"/>
      <c r="O234" s="383"/>
      <c r="P234" s="183"/>
      <c r="Q234" s="183"/>
    </row>
    <row r="235" spans="1:17" s="6" customFormat="1" ht="14.4" thickTop="1" x14ac:dyDescent="0.25">
      <c r="A235" s="58"/>
      <c r="B235" s="58"/>
      <c r="C235" s="58"/>
      <c r="D235" s="58"/>
      <c r="E235" s="99"/>
      <c r="F235" s="58"/>
      <c r="G235" s="99"/>
      <c r="H235" s="58"/>
      <c r="I235" s="99"/>
      <c r="J235" s="58"/>
      <c r="K235" s="99"/>
      <c r="L235" s="49"/>
      <c r="M235" s="97"/>
      <c r="N235" s="99"/>
      <c r="O235" s="383"/>
      <c r="P235" s="183"/>
      <c r="Q235" s="183"/>
    </row>
    <row r="236" spans="1:17" s="6" customFormat="1" x14ac:dyDescent="0.3">
      <c r="A236" s="111" t="s">
        <v>167</v>
      </c>
      <c r="B236" s="92"/>
      <c r="C236" s="58"/>
      <c r="D236" s="58"/>
      <c r="E236" s="99"/>
      <c r="F236" s="58"/>
      <c r="G236" s="99"/>
      <c r="H236" s="58"/>
      <c r="I236" s="99"/>
      <c r="J236" s="58"/>
      <c r="K236" s="99"/>
      <c r="L236" s="49"/>
      <c r="M236" s="97"/>
      <c r="N236" s="99"/>
      <c r="O236" s="383"/>
      <c r="P236" s="183"/>
      <c r="Q236" s="183"/>
    </row>
    <row r="237" spans="1:17" s="6" customFormat="1" ht="14.4" thickBot="1" x14ac:dyDescent="0.3">
      <c r="A237" s="16" t="s">
        <v>169</v>
      </c>
      <c r="B237" s="16"/>
      <c r="C237" s="58"/>
      <c r="D237" s="58"/>
      <c r="E237" s="116">
        <v>-2500</v>
      </c>
      <c r="F237" s="58"/>
      <c r="G237" s="116">
        <v>-2500</v>
      </c>
      <c r="H237" s="58"/>
      <c r="I237" s="116">
        <f>I230</f>
        <v>-2500</v>
      </c>
      <c r="J237" s="58"/>
      <c r="K237" s="116">
        <f>K230</f>
        <v>-2500</v>
      </c>
      <c r="L237" s="97"/>
      <c r="M237" s="158">
        <v>-2651</v>
      </c>
      <c r="N237" s="99"/>
      <c r="O237" s="383"/>
      <c r="P237" s="183"/>
      <c r="Q237" s="183"/>
    </row>
    <row r="238" spans="1:17" s="6" customFormat="1" ht="14.4" thickTop="1" x14ac:dyDescent="0.25">
      <c r="A238" s="58"/>
      <c r="B238" s="58"/>
      <c r="C238" s="58"/>
      <c r="D238" s="58"/>
      <c r="E238" s="159"/>
      <c r="F238" s="58"/>
      <c r="G238" s="159"/>
      <c r="H238" s="58"/>
      <c r="I238" s="159"/>
      <c r="J238" s="58"/>
      <c r="K238" s="159"/>
      <c r="L238" s="49"/>
      <c r="M238" s="97"/>
      <c r="N238" s="99"/>
      <c r="O238" s="383"/>
      <c r="P238" s="183"/>
      <c r="Q238" s="183"/>
    </row>
    <row r="239" spans="1:17" s="6" customFormat="1" ht="13.8" x14ac:dyDescent="0.25">
      <c r="A239" s="58"/>
      <c r="B239" s="58"/>
      <c r="C239" s="58"/>
      <c r="D239" s="58"/>
      <c r="E239" s="159"/>
      <c r="F239" s="58"/>
      <c r="G239" s="159"/>
      <c r="H239" s="58"/>
      <c r="I239" s="159"/>
      <c r="J239" s="58"/>
      <c r="K239" s="159"/>
      <c r="L239" s="49"/>
      <c r="M239" s="97"/>
      <c r="N239" s="272"/>
      <c r="O239" s="383"/>
      <c r="P239" s="183"/>
      <c r="Q239" s="183"/>
    </row>
    <row r="240" spans="1:17" s="6" customFormat="1" ht="13.8" x14ac:dyDescent="0.25">
      <c r="A240" s="58"/>
      <c r="B240" s="58"/>
      <c r="C240" s="58"/>
      <c r="D240" s="58"/>
      <c r="E240" s="159"/>
      <c r="F240" s="58"/>
      <c r="G240" s="159"/>
      <c r="H240" s="58"/>
      <c r="J240" s="58"/>
      <c r="K240" s="159"/>
      <c r="L240" s="49"/>
      <c r="M240" s="97"/>
      <c r="N240" s="272"/>
      <c r="O240" s="383"/>
      <c r="P240" s="183"/>
      <c r="Q240" s="183"/>
    </row>
    <row r="241" spans="1:17" s="6" customFormat="1" ht="13.8" x14ac:dyDescent="0.25">
      <c r="A241" s="58"/>
      <c r="B241" s="58"/>
      <c r="C241" s="58"/>
      <c r="D241" s="58"/>
      <c r="E241" s="99"/>
      <c r="F241" s="58"/>
      <c r="G241" s="99"/>
      <c r="H241" s="58"/>
      <c r="J241" s="58"/>
      <c r="K241" s="99"/>
      <c r="L241" s="49"/>
      <c r="M241" s="97"/>
      <c r="N241" s="272"/>
      <c r="O241" s="383"/>
      <c r="P241" s="183"/>
      <c r="Q241" s="183"/>
    </row>
    <row r="242" spans="1:17" x14ac:dyDescent="0.3">
      <c r="A242" s="38"/>
      <c r="B242" s="38"/>
      <c r="C242" s="59"/>
      <c r="D242" s="59"/>
      <c r="F242" s="59"/>
      <c r="H242" s="59"/>
      <c r="J242" s="59"/>
      <c r="L242" s="49"/>
      <c r="M242" s="97"/>
    </row>
    <row r="243" spans="1:17" x14ac:dyDescent="0.3">
      <c r="A243" s="38"/>
      <c r="B243" s="38"/>
      <c r="C243" s="59"/>
      <c r="D243" s="59"/>
      <c r="F243" s="59"/>
      <c r="H243" s="59"/>
      <c r="J243" s="59"/>
      <c r="L243" s="49"/>
      <c r="M243" s="97"/>
    </row>
    <row r="244" spans="1:17" x14ac:dyDescent="0.3">
      <c r="A244" s="38"/>
      <c r="B244" s="38"/>
      <c r="C244" s="59"/>
      <c r="D244" s="59"/>
      <c r="F244" s="59"/>
      <c r="H244" s="59"/>
      <c r="J244" s="59"/>
      <c r="L244" s="49"/>
      <c r="M244" s="97"/>
    </row>
    <row r="245" spans="1:17" x14ac:dyDescent="0.3">
      <c r="A245" s="38"/>
      <c r="B245" s="38"/>
      <c r="C245" s="59"/>
      <c r="D245" s="59"/>
      <c r="F245" s="59"/>
      <c r="H245" s="59"/>
      <c r="J245" s="59"/>
      <c r="L245" s="49"/>
      <c r="M245" s="97"/>
    </row>
    <row r="246" spans="1:17" x14ac:dyDescent="0.3">
      <c r="A246" s="38"/>
      <c r="B246" s="38"/>
      <c r="C246" s="59"/>
      <c r="D246" s="59"/>
      <c r="F246" s="59"/>
      <c r="H246" s="59"/>
      <c r="J246" s="59"/>
      <c r="L246" s="49"/>
      <c r="M246" s="97"/>
    </row>
    <row r="247" spans="1:17" x14ac:dyDescent="0.3">
      <c r="A247" s="38"/>
      <c r="B247" s="38"/>
      <c r="C247" s="59"/>
      <c r="D247" s="59"/>
      <c r="F247" s="59"/>
      <c r="H247" s="59"/>
      <c r="J247" s="59"/>
      <c r="L247" s="49"/>
      <c r="M247" s="97"/>
    </row>
    <row r="248" spans="1:17" x14ac:dyDescent="0.3">
      <c r="A248" s="59"/>
      <c r="B248" s="59"/>
      <c r="C248" s="59"/>
      <c r="D248" s="59"/>
      <c r="F248" s="59"/>
      <c r="H248" s="59"/>
      <c r="J248" s="59"/>
      <c r="L248" s="49"/>
      <c r="M248" s="97"/>
    </row>
    <row r="249" spans="1:17" x14ac:dyDescent="0.3">
      <c r="A249" s="58"/>
      <c r="B249" s="58"/>
      <c r="C249" s="58"/>
      <c r="D249" s="58"/>
      <c r="F249" s="58"/>
      <c r="H249" s="58"/>
      <c r="I249" s="159"/>
      <c r="J249" s="58"/>
      <c r="L249" s="49"/>
      <c r="M249" s="97"/>
    </row>
    <row r="272" spans="1:13" x14ac:dyDescent="0.3">
      <c r="A272" s="16"/>
      <c r="B272" s="16"/>
      <c r="C272" s="55"/>
      <c r="D272" s="55"/>
      <c r="F272" s="55"/>
      <c r="H272" s="58"/>
      <c r="J272" s="58"/>
      <c r="L272" s="60"/>
      <c r="M272" s="153"/>
    </row>
    <row r="273" spans="1:13" x14ac:dyDescent="0.3">
      <c r="A273" s="16"/>
      <c r="B273" s="16"/>
      <c r="C273" s="55"/>
      <c r="D273" s="55"/>
      <c r="F273" s="55"/>
      <c r="H273" s="58"/>
      <c r="J273" s="58"/>
      <c r="L273" s="60"/>
      <c r="M273" s="153"/>
    </row>
    <row r="274" spans="1:13" x14ac:dyDescent="0.3">
      <c r="A274" s="16"/>
      <c r="B274" s="16"/>
      <c r="C274" s="55"/>
      <c r="D274" s="55"/>
      <c r="F274" s="55"/>
      <c r="H274" s="58"/>
      <c r="J274" s="58"/>
      <c r="L274" s="60"/>
      <c r="M274" s="153"/>
    </row>
    <row r="275" spans="1:13" x14ac:dyDescent="0.3">
      <c r="A275" s="16"/>
      <c r="B275" s="16"/>
      <c r="C275" s="55"/>
      <c r="D275" s="55"/>
      <c r="F275" s="55"/>
      <c r="H275" s="58"/>
      <c r="J275" s="58"/>
      <c r="L275" s="60"/>
      <c r="M275" s="153"/>
    </row>
    <row r="276" spans="1:13" x14ac:dyDescent="0.3">
      <c r="A276" s="16"/>
      <c r="B276" s="16"/>
      <c r="C276" s="55"/>
      <c r="D276" s="55"/>
      <c r="F276" s="55"/>
      <c r="H276" s="58"/>
      <c r="J276" s="58"/>
      <c r="L276" s="60"/>
      <c r="M276" s="153"/>
    </row>
    <row r="277" spans="1:13" x14ac:dyDescent="0.3">
      <c r="A277" s="16"/>
      <c r="B277" s="16"/>
      <c r="C277" s="55"/>
      <c r="D277" s="55"/>
      <c r="F277" s="55"/>
      <c r="H277" s="58"/>
      <c r="J277" s="58"/>
      <c r="L277" s="60"/>
      <c r="M277" s="153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 alignWithMargins="0">
    <oddFooter>&amp;C&amp;P</oddFooter>
  </headerFooter>
  <rowBreaks count="1" manualBreakCount="1">
    <brk id="18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H36"/>
  <sheetViews>
    <sheetView workbookViewId="0">
      <selection activeCell="K25" sqref="K25"/>
    </sheetView>
  </sheetViews>
  <sheetFormatPr defaultRowHeight="15.6" x14ac:dyDescent="0.3"/>
  <sheetData>
    <row r="1" spans="1:8" x14ac:dyDescent="0.3">
      <c r="A1" s="397"/>
      <c r="B1" s="397"/>
      <c r="C1" s="397"/>
      <c r="D1" s="397"/>
      <c r="E1" s="397"/>
      <c r="F1" s="397"/>
      <c r="G1" s="397"/>
    </row>
    <row r="2" spans="1:8" ht="22.8" x14ac:dyDescent="0.3">
      <c r="A2" s="197" t="s">
        <v>59</v>
      </c>
      <c r="B2" s="192"/>
      <c r="C2" s="192"/>
      <c r="D2" s="192"/>
      <c r="E2" s="192"/>
      <c r="F2" s="192"/>
      <c r="G2" s="192"/>
    </row>
    <row r="3" spans="1:8" x14ac:dyDescent="0.3">
      <c r="A3" s="193"/>
      <c r="B3" s="192"/>
      <c r="C3" s="192"/>
      <c r="D3" s="192"/>
      <c r="E3" s="192"/>
      <c r="F3" s="192"/>
      <c r="G3" s="192"/>
    </row>
    <row r="4" spans="1:8" ht="16.2" x14ac:dyDescent="0.3">
      <c r="A4" s="198" t="s">
        <v>367</v>
      </c>
      <c r="B4" s="192"/>
      <c r="C4" s="192"/>
      <c r="D4" s="192"/>
      <c r="E4" s="192"/>
      <c r="F4" s="192"/>
      <c r="G4" s="192"/>
    </row>
    <row r="5" spans="1:8" x14ac:dyDescent="0.3">
      <c r="A5" s="195"/>
      <c r="B5" s="192"/>
      <c r="C5" s="192"/>
      <c r="D5" s="192"/>
      <c r="E5" s="192"/>
      <c r="F5" s="192"/>
      <c r="G5" s="192"/>
    </row>
    <row r="6" spans="1:8" x14ac:dyDescent="0.3">
      <c r="A6" s="192" t="s">
        <v>368</v>
      </c>
      <c r="B6" s="192"/>
      <c r="C6" s="192"/>
      <c r="D6" s="192"/>
      <c r="E6" s="192"/>
      <c r="F6" s="192"/>
      <c r="G6" s="192"/>
    </row>
    <row r="7" spans="1:8" x14ac:dyDescent="0.3">
      <c r="A7" s="192"/>
      <c r="B7" s="192"/>
      <c r="C7" s="192"/>
      <c r="D7" s="192"/>
      <c r="E7" s="192"/>
      <c r="F7" s="192"/>
      <c r="G7" s="192"/>
    </row>
    <row r="8" spans="1:8" ht="16.2" x14ac:dyDescent="0.3">
      <c r="A8" s="198" t="s">
        <v>369</v>
      </c>
      <c r="B8" s="192"/>
      <c r="C8" s="192"/>
      <c r="D8" s="192"/>
      <c r="E8" s="192"/>
      <c r="F8" s="192"/>
      <c r="G8" s="192"/>
    </row>
    <row r="9" spans="1:8" x14ac:dyDescent="0.3">
      <c r="A9" s="398" t="s">
        <v>370</v>
      </c>
      <c r="B9" s="398"/>
      <c r="C9" s="398"/>
      <c r="D9" s="398"/>
      <c r="E9" s="398"/>
      <c r="F9" s="398"/>
      <c r="G9" s="398"/>
      <c r="H9" s="396"/>
    </row>
    <row r="10" spans="1:8" x14ac:dyDescent="0.3">
      <c r="A10" s="398"/>
      <c r="B10" s="398"/>
      <c r="C10" s="398"/>
      <c r="D10" s="398"/>
      <c r="E10" s="398"/>
      <c r="F10" s="398"/>
      <c r="G10" s="398"/>
      <c r="H10" s="396"/>
    </row>
    <row r="11" spans="1:8" x14ac:dyDescent="0.3">
      <c r="A11" s="192"/>
      <c r="B11" s="192"/>
      <c r="C11" s="192"/>
      <c r="D11" s="192"/>
      <c r="E11" s="192"/>
      <c r="F11" s="192"/>
      <c r="G11" s="192"/>
    </row>
    <row r="12" spans="1:8" ht="16.2" x14ac:dyDescent="0.3">
      <c r="A12" s="198" t="s">
        <v>258</v>
      </c>
      <c r="B12" s="192"/>
      <c r="C12" s="192"/>
      <c r="D12" s="192"/>
      <c r="E12" s="192"/>
      <c r="F12" s="192"/>
      <c r="G12" s="192"/>
    </row>
    <row r="13" spans="1:8" x14ac:dyDescent="0.3">
      <c r="A13" s="192"/>
      <c r="B13" s="192"/>
      <c r="C13" s="192"/>
      <c r="D13" s="192"/>
      <c r="E13" s="192"/>
      <c r="F13" s="192"/>
      <c r="G13" s="192"/>
    </row>
    <row r="14" spans="1:8" x14ac:dyDescent="0.3">
      <c r="A14" s="192" t="s">
        <v>373</v>
      </c>
      <c r="B14" s="192"/>
      <c r="C14" s="192"/>
      <c r="D14" s="192"/>
      <c r="E14" s="192"/>
      <c r="F14" s="192"/>
      <c r="G14" s="192"/>
    </row>
    <row r="15" spans="1:8" x14ac:dyDescent="0.3">
      <c r="A15" s="192"/>
      <c r="B15" s="192"/>
      <c r="C15" s="192"/>
      <c r="D15" s="192"/>
      <c r="E15" s="192"/>
      <c r="F15" s="192"/>
      <c r="G15" s="192"/>
    </row>
    <row r="16" spans="1:8" x14ac:dyDescent="0.3">
      <c r="A16" s="17"/>
      <c r="B16" s="17"/>
      <c r="F16" s="399" t="s">
        <v>535</v>
      </c>
      <c r="G16" s="399" t="s">
        <v>558</v>
      </c>
      <c r="H16" s="399" t="s">
        <v>484</v>
      </c>
    </row>
    <row r="17" spans="1:8" x14ac:dyDescent="0.3">
      <c r="A17" s="17"/>
      <c r="B17" s="17"/>
      <c r="F17" s="400"/>
      <c r="G17" s="400"/>
      <c r="H17" s="400"/>
    </row>
    <row r="18" spans="1:8" x14ac:dyDescent="0.3">
      <c r="A18" s="17"/>
      <c r="B18" s="17"/>
      <c r="F18" s="61" t="s">
        <v>256</v>
      </c>
      <c r="G18" s="61" t="s">
        <v>256</v>
      </c>
      <c r="H18" s="61" t="s">
        <v>256</v>
      </c>
    </row>
    <row r="19" spans="1:8" x14ac:dyDescent="0.3">
      <c r="A19" s="62" t="s">
        <v>371</v>
      </c>
      <c r="B19" s="16"/>
      <c r="F19" s="16"/>
      <c r="G19" s="16"/>
      <c r="H19" s="16"/>
    </row>
    <row r="20" spans="1:8" x14ac:dyDescent="0.3">
      <c r="A20" s="17" t="s">
        <v>6</v>
      </c>
      <c r="B20" s="16"/>
      <c r="F20" s="242">
        <v>19000</v>
      </c>
      <c r="G20" s="189">
        <v>0</v>
      </c>
      <c r="H20" s="242">
        <v>0</v>
      </c>
    </row>
    <row r="21" spans="1:8" x14ac:dyDescent="0.3">
      <c r="A21" s="17" t="s">
        <v>372</v>
      </c>
      <c r="B21" s="17"/>
      <c r="F21" s="208" t="e">
        <f>Resultatenanalyse!D41</f>
        <v>#REF!</v>
      </c>
      <c r="G21" s="189">
        <v>0</v>
      </c>
      <c r="H21" s="249">
        <v>70948</v>
      </c>
    </row>
    <row r="22" spans="1:8" ht="16.2" thickBot="1" x14ac:dyDescent="0.35">
      <c r="A22" s="17"/>
      <c r="B22" s="17"/>
      <c r="F22" s="243" t="e">
        <f>SUM(F20:F21)</f>
        <v>#REF!</v>
      </c>
      <c r="G22" s="200">
        <f>SUM(G21:G21)</f>
        <v>0</v>
      </c>
      <c r="H22" s="243">
        <f>SUM(H20:H21)</f>
        <v>70948</v>
      </c>
    </row>
    <row r="23" spans="1:8" ht="16.2" thickTop="1" x14ac:dyDescent="0.3">
      <c r="A23" s="192"/>
      <c r="B23" s="192"/>
      <c r="C23" s="192"/>
      <c r="D23" s="192"/>
      <c r="E23" s="192"/>
      <c r="F23" s="192"/>
      <c r="G23" s="192"/>
    </row>
    <row r="24" spans="1:8" ht="16.2" x14ac:dyDescent="0.3">
      <c r="A24" s="198" t="s">
        <v>374</v>
      </c>
      <c r="B24" s="192"/>
      <c r="C24" s="192"/>
      <c r="D24" s="192"/>
      <c r="E24" s="192"/>
      <c r="F24" s="192"/>
      <c r="G24" s="192"/>
    </row>
    <row r="25" spans="1:8" x14ac:dyDescent="0.3">
      <c r="A25" s="192"/>
      <c r="B25" s="192"/>
      <c r="C25" s="192"/>
      <c r="D25" s="192"/>
      <c r="E25" s="192"/>
      <c r="F25" s="192"/>
      <c r="G25" s="192"/>
    </row>
    <row r="26" spans="1:8" x14ac:dyDescent="0.3">
      <c r="A26" s="192" t="s">
        <v>559</v>
      </c>
      <c r="B26" s="192"/>
      <c r="C26" s="192"/>
      <c r="D26" s="192"/>
      <c r="E26" s="192"/>
      <c r="F26" s="192"/>
      <c r="G26" s="192"/>
    </row>
    <row r="27" spans="1:8" x14ac:dyDescent="0.3">
      <c r="A27" s="192"/>
      <c r="B27" s="192"/>
      <c r="C27" s="192"/>
      <c r="D27" s="192"/>
      <c r="E27" s="192"/>
      <c r="F27" s="192"/>
      <c r="G27" s="192"/>
    </row>
    <row r="28" spans="1:8" x14ac:dyDescent="0.3">
      <c r="A28" s="192"/>
      <c r="B28" s="192"/>
      <c r="C28" s="192"/>
      <c r="D28" s="192"/>
      <c r="E28" s="192"/>
      <c r="F28" s="192"/>
      <c r="G28" s="192"/>
    </row>
    <row r="29" spans="1:8" x14ac:dyDescent="0.3">
      <c r="A29" s="192"/>
      <c r="B29" s="192"/>
      <c r="C29" s="192"/>
      <c r="E29" s="192"/>
      <c r="F29" s="192"/>
      <c r="G29" s="192"/>
    </row>
    <row r="30" spans="1:8" x14ac:dyDescent="0.3">
      <c r="A30" s="192"/>
      <c r="B30" s="192"/>
      <c r="C30" s="192"/>
      <c r="D30" s="192"/>
      <c r="E30" s="192"/>
      <c r="F30" s="192"/>
      <c r="G30" s="192"/>
    </row>
    <row r="31" spans="1:8" x14ac:dyDescent="0.3">
      <c r="A31" s="196"/>
      <c r="B31" s="196"/>
      <c r="C31" s="192"/>
      <c r="D31" s="196"/>
      <c r="E31" s="196"/>
      <c r="F31" s="192"/>
      <c r="G31" s="196"/>
      <c r="H31" s="196"/>
    </row>
    <row r="32" spans="1:8" x14ac:dyDescent="0.3">
      <c r="A32" s="194" t="s">
        <v>440</v>
      </c>
      <c r="B32" s="194"/>
      <c r="C32" s="192"/>
      <c r="D32" s="194" t="s">
        <v>504</v>
      </c>
      <c r="E32" s="194"/>
      <c r="F32" s="192"/>
      <c r="G32" s="244" t="s">
        <v>378</v>
      </c>
      <c r="H32" s="194"/>
    </row>
    <row r="33" spans="1:7" x14ac:dyDescent="0.3">
      <c r="A33" s="192" t="s">
        <v>375</v>
      </c>
      <c r="B33" s="192"/>
      <c r="C33" s="192"/>
      <c r="D33" s="192" t="s">
        <v>376</v>
      </c>
      <c r="E33" s="192"/>
      <c r="F33" s="192"/>
      <c r="G33" s="192" t="s">
        <v>377</v>
      </c>
    </row>
    <row r="34" spans="1:7" x14ac:dyDescent="0.3">
      <c r="A34" s="192"/>
      <c r="B34" s="192"/>
      <c r="C34" s="192"/>
      <c r="D34" s="192"/>
      <c r="E34" s="192"/>
      <c r="F34" s="192"/>
      <c r="G34" s="192"/>
    </row>
    <row r="35" spans="1:7" x14ac:dyDescent="0.3">
      <c r="A35" s="191"/>
      <c r="B35" s="191"/>
      <c r="C35" s="191"/>
      <c r="D35" s="191"/>
      <c r="E35" s="191"/>
      <c r="F35" s="191"/>
      <c r="G35" s="191"/>
    </row>
    <row r="36" spans="1:7" x14ac:dyDescent="0.3">
      <c r="A36" s="191"/>
      <c r="B36" s="191"/>
      <c r="C36" s="191"/>
      <c r="D36" s="191"/>
      <c r="E36" s="191"/>
      <c r="F36" s="191"/>
      <c r="G36" s="191"/>
    </row>
  </sheetData>
  <mergeCells count="5">
    <mergeCell ref="A1:G1"/>
    <mergeCell ref="A9:H10"/>
    <mergeCell ref="F16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02"/>
  <sheetViews>
    <sheetView zoomScaleNormal="100" workbookViewId="0">
      <pane ySplit="1" topLeftCell="A68" activePane="bottomLeft" state="frozen"/>
      <selection activeCell="D388" sqref="D388"/>
      <selection pane="bottomLeft" activeCell="C74" sqref="C74"/>
    </sheetView>
  </sheetViews>
  <sheetFormatPr defaultColWidth="8" defaultRowHeight="13.2" outlineLevelCol="1" x14ac:dyDescent="0.25"/>
  <cols>
    <col min="1" max="1" width="9.59765625" style="167" bestFit="1" customWidth="1"/>
    <col min="2" max="2" width="33.59765625" style="167" bestFit="1" customWidth="1"/>
    <col min="3" max="3" width="12.09765625" style="174" customWidth="1" outlineLevel="1"/>
    <col min="4" max="4" width="8.5" style="104" bestFit="1" customWidth="1"/>
    <col min="5" max="5" width="10.19921875" style="104" bestFit="1" customWidth="1"/>
    <col min="6" max="6" width="8" style="104"/>
    <col min="7" max="7" width="8.8984375" style="104" bestFit="1" customWidth="1"/>
    <col min="8" max="16384" width="8" style="104"/>
  </cols>
  <sheetData>
    <row r="1" spans="1:7" x14ac:dyDescent="0.25">
      <c r="A1" s="118" t="s">
        <v>171</v>
      </c>
      <c r="B1" s="175" t="s">
        <v>172</v>
      </c>
      <c r="C1" s="172" t="s">
        <v>173</v>
      </c>
    </row>
    <row r="2" spans="1:7" x14ac:dyDescent="0.25">
      <c r="A2" s="113">
        <v>520090001</v>
      </c>
      <c r="B2" s="114" t="s">
        <v>580</v>
      </c>
      <c r="C2" s="173">
        <v>25499.07</v>
      </c>
      <c r="D2" s="107"/>
      <c r="E2" s="107"/>
      <c r="F2" s="106"/>
      <c r="G2" s="106"/>
    </row>
    <row r="3" spans="1:7" x14ac:dyDescent="0.25">
      <c r="A3" s="113"/>
      <c r="B3" s="114"/>
      <c r="C3" s="177"/>
      <c r="D3" s="107"/>
      <c r="E3" s="107"/>
      <c r="F3" s="106"/>
      <c r="G3" s="106"/>
    </row>
    <row r="4" spans="1:7" x14ac:dyDescent="0.25">
      <c r="A4" s="113">
        <v>520090002</v>
      </c>
      <c r="B4" s="114" t="s">
        <v>488</v>
      </c>
      <c r="C4" s="173">
        <v>0</v>
      </c>
      <c r="D4" s="107"/>
      <c r="E4" s="107"/>
      <c r="F4" s="106"/>
      <c r="G4" s="106"/>
    </row>
    <row r="5" spans="1:7" x14ac:dyDescent="0.25">
      <c r="A5" s="113"/>
      <c r="B5" s="114"/>
      <c r="C5" s="173"/>
      <c r="D5" s="107"/>
      <c r="E5" s="107"/>
      <c r="F5" s="106"/>
      <c r="G5" s="106"/>
    </row>
    <row r="6" spans="1:7" x14ac:dyDescent="0.25">
      <c r="A6" s="113">
        <v>520090003</v>
      </c>
      <c r="B6" s="114" t="s">
        <v>592</v>
      </c>
      <c r="C6" s="173">
        <v>22260.85</v>
      </c>
      <c r="D6" s="107"/>
      <c r="E6" s="107"/>
      <c r="F6" s="106"/>
      <c r="G6" s="106"/>
    </row>
    <row r="7" spans="1:7" x14ac:dyDescent="0.25">
      <c r="A7" s="113"/>
      <c r="B7" s="114"/>
      <c r="C7" s="173"/>
      <c r="D7" s="107"/>
      <c r="E7" s="107"/>
      <c r="F7" s="106"/>
      <c r="G7" s="106"/>
    </row>
    <row r="8" spans="1:7" x14ac:dyDescent="0.25">
      <c r="A8" s="113">
        <v>520090004</v>
      </c>
      <c r="B8" s="114" t="s">
        <v>581</v>
      </c>
      <c r="C8" s="177">
        <v>3301.33</v>
      </c>
      <c r="D8" s="107"/>
      <c r="E8" s="107"/>
      <c r="F8" s="106"/>
      <c r="G8" s="106"/>
    </row>
    <row r="9" spans="1:7" x14ac:dyDescent="0.25">
      <c r="A9" s="113"/>
      <c r="B9" s="114"/>
      <c r="C9" s="177"/>
      <c r="D9" s="107"/>
      <c r="E9" s="107"/>
      <c r="F9" s="106"/>
      <c r="G9" s="106"/>
    </row>
    <row r="10" spans="1:7" x14ac:dyDescent="0.25">
      <c r="A10" s="113">
        <v>520090005</v>
      </c>
      <c r="B10" s="114" t="s">
        <v>386</v>
      </c>
      <c r="C10" s="237">
        <v>10820</v>
      </c>
      <c r="D10" s="107"/>
      <c r="E10" s="107"/>
      <c r="F10" s="106"/>
      <c r="G10" s="106"/>
    </row>
    <row r="11" spans="1:7" x14ac:dyDescent="0.25">
      <c r="A11" s="113"/>
      <c r="B11" s="114"/>
      <c r="C11" s="177"/>
      <c r="D11" s="107"/>
      <c r="E11" s="107"/>
      <c r="F11" s="106"/>
      <c r="G11" s="106"/>
    </row>
    <row r="12" spans="1:7" x14ac:dyDescent="0.25">
      <c r="A12" s="113">
        <v>520090006</v>
      </c>
      <c r="B12" s="114" t="s">
        <v>386</v>
      </c>
      <c r="C12" s="237">
        <v>12819.99</v>
      </c>
      <c r="D12" s="107"/>
      <c r="E12" s="107"/>
      <c r="F12" s="106"/>
      <c r="G12" s="106"/>
    </row>
    <row r="13" spans="1:7" x14ac:dyDescent="0.25">
      <c r="A13" s="113"/>
      <c r="B13" s="114"/>
      <c r="C13" s="177"/>
      <c r="D13" s="107"/>
      <c r="E13" s="107"/>
      <c r="F13" s="106"/>
      <c r="G13" s="106"/>
    </row>
    <row r="14" spans="1:7" x14ac:dyDescent="0.25">
      <c r="A14" s="113">
        <v>520090007</v>
      </c>
      <c r="B14" s="114" t="s">
        <v>356</v>
      </c>
      <c r="C14" s="177">
        <v>801.75</v>
      </c>
      <c r="D14" s="107"/>
      <c r="E14" s="107"/>
      <c r="F14" s="106"/>
      <c r="G14" s="106"/>
    </row>
    <row r="15" spans="1:7" x14ac:dyDescent="0.25">
      <c r="A15" s="113"/>
      <c r="B15" s="114"/>
      <c r="C15" s="177"/>
      <c r="D15" s="107"/>
      <c r="E15" s="107"/>
      <c r="F15" s="106"/>
      <c r="G15" s="106"/>
    </row>
    <row r="16" spans="1:7" x14ac:dyDescent="0.25">
      <c r="A16" s="113">
        <v>520090008</v>
      </c>
      <c r="B16" s="114" t="s">
        <v>429</v>
      </c>
      <c r="C16" s="177">
        <v>0</v>
      </c>
      <c r="D16" s="107"/>
      <c r="E16" s="107"/>
      <c r="F16" s="106"/>
      <c r="G16" s="106"/>
    </row>
    <row r="17" spans="1:7" s="167" customFormat="1" x14ac:dyDescent="0.25">
      <c r="A17" s="113"/>
      <c r="B17" s="114"/>
      <c r="C17" s="177"/>
      <c r="D17" s="168"/>
      <c r="E17" s="168"/>
      <c r="F17" s="170"/>
      <c r="G17" s="170"/>
    </row>
    <row r="18" spans="1:7" x14ac:dyDescent="0.25">
      <c r="A18" s="113">
        <v>520090009</v>
      </c>
      <c r="B18" s="114" t="s">
        <v>393</v>
      </c>
      <c r="C18" s="266">
        <v>14346.41</v>
      </c>
      <c r="D18" s="107"/>
      <c r="E18" s="107"/>
      <c r="F18" s="106"/>
      <c r="G18" s="106"/>
    </row>
    <row r="19" spans="1:7" x14ac:dyDescent="0.25">
      <c r="A19" s="113"/>
      <c r="B19" s="114"/>
      <c r="C19" s="177"/>
      <c r="D19" s="107"/>
      <c r="E19" s="107"/>
      <c r="F19" s="106"/>
      <c r="G19" s="106"/>
    </row>
    <row r="20" spans="1:7" x14ac:dyDescent="0.25">
      <c r="A20" s="113">
        <v>520090010</v>
      </c>
      <c r="B20" s="114" t="s">
        <v>395</v>
      </c>
      <c r="C20" s="177">
        <v>0</v>
      </c>
      <c r="D20" s="107"/>
      <c r="E20" s="107"/>
      <c r="F20" s="106"/>
      <c r="G20" s="106"/>
    </row>
    <row r="21" spans="1:7" x14ac:dyDescent="0.25">
      <c r="A21" s="113"/>
      <c r="B21" s="114"/>
      <c r="C21" s="177"/>
      <c r="D21" s="107"/>
      <c r="E21" s="107"/>
      <c r="F21" s="106"/>
      <c r="G21" s="106"/>
    </row>
    <row r="22" spans="1:7" x14ac:dyDescent="0.25">
      <c r="A22" s="113">
        <v>520090100</v>
      </c>
      <c r="B22" s="114" t="s">
        <v>387</v>
      </c>
      <c r="C22" s="177">
        <v>10366.99</v>
      </c>
      <c r="D22" s="107"/>
      <c r="E22" s="107"/>
      <c r="F22" s="106"/>
      <c r="G22" s="106"/>
    </row>
    <row r="23" spans="1:7" x14ac:dyDescent="0.25">
      <c r="A23" s="113"/>
      <c r="B23" s="114"/>
      <c r="C23" s="177"/>
      <c r="D23" s="107"/>
      <c r="E23" s="107"/>
      <c r="F23" s="106"/>
      <c r="G23" s="106"/>
    </row>
    <row r="24" spans="1:7" x14ac:dyDescent="0.25">
      <c r="A24" s="113">
        <v>520090101</v>
      </c>
      <c r="B24" s="114" t="s">
        <v>441</v>
      </c>
      <c r="C24" s="177">
        <v>0</v>
      </c>
      <c r="D24" s="107"/>
      <c r="E24" s="107"/>
      <c r="F24" s="106"/>
      <c r="G24" s="106"/>
    </row>
    <row r="25" spans="1:7" x14ac:dyDescent="0.25">
      <c r="A25" s="113"/>
      <c r="B25" s="114"/>
      <c r="C25" s="177"/>
      <c r="D25" s="107"/>
      <c r="E25" s="107"/>
      <c r="F25" s="106"/>
      <c r="G25" s="106"/>
    </row>
    <row r="26" spans="1:7" x14ac:dyDescent="0.25">
      <c r="A26" s="113">
        <v>520090102</v>
      </c>
      <c r="B26" s="114" t="s">
        <v>453</v>
      </c>
      <c r="C26" s="177">
        <v>9682.43</v>
      </c>
      <c r="D26" s="107"/>
      <c r="E26" s="107"/>
      <c r="F26" s="106"/>
      <c r="G26" s="106"/>
    </row>
    <row r="27" spans="1:7" x14ac:dyDescent="0.25">
      <c r="A27" s="113"/>
      <c r="B27" s="114"/>
      <c r="C27" s="177"/>
      <c r="D27" s="107"/>
      <c r="E27" s="107"/>
      <c r="F27" s="106"/>
      <c r="G27" s="106"/>
    </row>
    <row r="28" spans="1:7" x14ac:dyDescent="0.25">
      <c r="A28" s="113">
        <v>520090103</v>
      </c>
      <c r="B28" s="114" t="s">
        <v>454</v>
      </c>
      <c r="C28" s="177">
        <v>0</v>
      </c>
      <c r="D28" s="107"/>
      <c r="E28" s="107"/>
      <c r="F28" s="106"/>
      <c r="G28" s="106"/>
    </row>
    <row r="29" spans="1:7" x14ac:dyDescent="0.25">
      <c r="A29" s="113"/>
      <c r="B29" s="114"/>
      <c r="C29" s="177"/>
      <c r="D29" s="107"/>
      <c r="E29" s="107"/>
      <c r="F29" s="106"/>
      <c r="G29" s="106"/>
    </row>
    <row r="30" spans="1:7" x14ac:dyDescent="0.25">
      <c r="A30" s="113">
        <v>520090104</v>
      </c>
      <c r="B30" s="114" t="s">
        <v>582</v>
      </c>
      <c r="C30" s="177">
        <v>9170.7900000000009</v>
      </c>
      <c r="D30" s="107"/>
      <c r="E30" s="107"/>
      <c r="F30" s="106"/>
      <c r="G30" s="106"/>
    </row>
    <row r="31" spans="1:7" x14ac:dyDescent="0.25">
      <c r="A31" s="113"/>
      <c r="B31" s="114"/>
      <c r="C31" s="177"/>
      <c r="D31" s="107"/>
      <c r="E31" s="107"/>
      <c r="F31" s="106"/>
      <c r="G31" s="106"/>
    </row>
    <row r="32" spans="1:7" x14ac:dyDescent="0.25">
      <c r="A32" s="113">
        <v>520090105</v>
      </c>
      <c r="B32" s="114" t="s">
        <v>496</v>
      </c>
      <c r="C32" s="177">
        <v>0</v>
      </c>
      <c r="D32" s="107"/>
      <c r="E32" s="107"/>
      <c r="F32" s="106"/>
      <c r="G32" s="106"/>
    </row>
    <row r="33" spans="1:7" x14ac:dyDescent="0.25">
      <c r="A33" s="113"/>
      <c r="B33" s="114"/>
      <c r="C33" s="177"/>
      <c r="D33" s="107"/>
      <c r="E33" s="107"/>
      <c r="F33" s="106"/>
      <c r="G33" s="106"/>
    </row>
    <row r="34" spans="1:7" x14ac:dyDescent="0.25">
      <c r="A34" s="113">
        <v>520090106</v>
      </c>
      <c r="B34" s="114" t="s">
        <v>455</v>
      </c>
      <c r="C34" s="177">
        <v>0</v>
      </c>
      <c r="D34" s="107"/>
      <c r="E34" s="107"/>
      <c r="F34" s="106"/>
      <c r="G34" s="106"/>
    </row>
    <row r="35" spans="1:7" x14ac:dyDescent="0.25">
      <c r="A35" s="113"/>
      <c r="B35" s="114"/>
      <c r="C35" s="177"/>
      <c r="D35" s="107"/>
      <c r="E35" s="107"/>
      <c r="F35" s="106"/>
      <c r="G35" s="106"/>
    </row>
    <row r="36" spans="1:7" x14ac:dyDescent="0.25">
      <c r="A36" s="113">
        <v>520090107</v>
      </c>
      <c r="B36" s="114" t="s">
        <v>406</v>
      </c>
      <c r="C36" s="177">
        <v>0</v>
      </c>
      <c r="D36" s="107"/>
      <c r="E36" s="107"/>
      <c r="F36" s="106"/>
      <c r="G36" s="106"/>
    </row>
    <row r="37" spans="1:7" x14ac:dyDescent="0.25">
      <c r="A37" s="113"/>
      <c r="B37" s="114"/>
      <c r="C37" s="177"/>
      <c r="D37" s="107"/>
      <c r="E37" s="107"/>
      <c r="F37" s="106"/>
      <c r="G37" s="106"/>
    </row>
    <row r="38" spans="1:7" x14ac:dyDescent="0.25">
      <c r="A38" s="113">
        <v>520090108</v>
      </c>
      <c r="B38" s="114" t="s">
        <v>456</v>
      </c>
      <c r="C38" s="177">
        <v>0</v>
      </c>
      <c r="D38" s="107"/>
      <c r="E38" s="107"/>
      <c r="F38" s="106"/>
      <c r="G38" s="106"/>
    </row>
    <row r="39" spans="1:7" x14ac:dyDescent="0.25">
      <c r="A39" s="113"/>
      <c r="B39" s="114"/>
      <c r="C39" s="177"/>
      <c r="D39" s="107"/>
      <c r="E39" s="107"/>
      <c r="F39" s="106"/>
      <c r="G39" s="106"/>
    </row>
    <row r="40" spans="1:7" x14ac:dyDescent="0.25">
      <c r="A40" s="113">
        <v>520090109</v>
      </c>
      <c r="B40" s="114" t="s">
        <v>497</v>
      </c>
      <c r="C40" s="177">
        <v>0</v>
      </c>
      <c r="D40" s="107"/>
      <c r="E40" s="107"/>
      <c r="F40" s="106"/>
      <c r="G40" s="106"/>
    </row>
    <row r="41" spans="1:7" x14ac:dyDescent="0.25">
      <c r="A41" s="113"/>
      <c r="B41" s="114"/>
      <c r="C41" s="177"/>
      <c r="D41" s="107"/>
      <c r="E41" s="107"/>
      <c r="F41" s="106"/>
      <c r="G41" s="106"/>
    </row>
    <row r="42" spans="1:7" x14ac:dyDescent="0.25">
      <c r="A42" s="113">
        <v>520090110</v>
      </c>
      <c r="B42" s="114" t="s">
        <v>599</v>
      </c>
      <c r="C42" s="177">
        <v>0</v>
      </c>
      <c r="D42" s="107"/>
      <c r="E42" s="107"/>
      <c r="F42" s="106"/>
      <c r="G42" s="106"/>
    </row>
    <row r="43" spans="1:7" x14ac:dyDescent="0.25">
      <c r="A43" s="113"/>
      <c r="B43" s="114"/>
      <c r="C43" s="177"/>
      <c r="D43" s="107"/>
      <c r="E43" s="107"/>
      <c r="F43" s="106"/>
      <c r="G43" s="106"/>
    </row>
    <row r="44" spans="1:7" x14ac:dyDescent="0.25">
      <c r="A44" s="113">
        <v>520090150</v>
      </c>
      <c r="B44" s="114" t="s">
        <v>583</v>
      </c>
      <c r="C44" s="177">
        <v>0</v>
      </c>
      <c r="D44" s="107"/>
      <c r="E44" s="107"/>
      <c r="F44" s="106"/>
      <c r="G44" s="106"/>
    </row>
    <row r="45" spans="1:7" s="167" customFormat="1" x14ac:dyDescent="0.25">
      <c r="A45" s="113"/>
      <c r="B45" s="114"/>
      <c r="C45" s="177"/>
      <c r="D45" s="168"/>
      <c r="E45" s="168"/>
      <c r="F45" s="170"/>
      <c r="G45" s="170"/>
    </row>
    <row r="46" spans="1:7" x14ac:dyDescent="0.25">
      <c r="A46" s="113">
        <v>520090200</v>
      </c>
      <c r="B46" s="114" t="s">
        <v>95</v>
      </c>
      <c r="C46" s="177">
        <v>0</v>
      </c>
      <c r="D46" s="107"/>
      <c r="E46" s="107"/>
      <c r="F46" s="106"/>
      <c r="G46" s="106"/>
    </row>
    <row r="47" spans="1:7" x14ac:dyDescent="0.25">
      <c r="A47" s="113"/>
      <c r="B47" s="114"/>
      <c r="C47" s="177"/>
      <c r="D47" s="107"/>
      <c r="E47" s="107"/>
      <c r="F47" s="106"/>
      <c r="G47" s="106"/>
    </row>
    <row r="48" spans="1:7" x14ac:dyDescent="0.25">
      <c r="A48" s="113">
        <v>520090201</v>
      </c>
      <c r="B48" s="114" t="s">
        <v>493</v>
      </c>
      <c r="C48" s="177">
        <v>0</v>
      </c>
      <c r="D48" s="107"/>
      <c r="E48" s="107"/>
      <c r="F48" s="106"/>
      <c r="G48" s="106"/>
    </row>
    <row r="49" spans="1:7" x14ac:dyDescent="0.25">
      <c r="A49" s="113"/>
      <c r="B49" s="114"/>
      <c r="C49" s="177"/>
      <c r="D49" s="107"/>
      <c r="E49" s="107"/>
      <c r="F49" s="106"/>
      <c r="G49" s="106"/>
    </row>
    <row r="50" spans="1:7" x14ac:dyDescent="0.25">
      <c r="A50" s="113">
        <v>520090202</v>
      </c>
      <c r="B50" s="114" t="s">
        <v>84</v>
      </c>
      <c r="C50" s="237">
        <v>4937.92</v>
      </c>
      <c r="D50" s="107"/>
      <c r="E50" s="107"/>
      <c r="F50" s="106"/>
      <c r="G50" s="106"/>
    </row>
    <row r="51" spans="1:7" x14ac:dyDescent="0.25">
      <c r="A51" s="113"/>
      <c r="B51" s="114"/>
      <c r="C51" s="177"/>
      <c r="D51" s="107"/>
      <c r="E51" s="107"/>
      <c r="F51" s="106"/>
      <c r="G51" s="106"/>
    </row>
    <row r="52" spans="1:7" x14ac:dyDescent="0.25">
      <c r="A52" s="113">
        <v>520090203</v>
      </c>
      <c r="B52" s="114" t="s">
        <v>432</v>
      </c>
      <c r="C52" s="177">
        <v>0</v>
      </c>
      <c r="D52" s="107"/>
      <c r="E52" s="107"/>
      <c r="F52" s="106"/>
      <c r="G52" s="106"/>
    </row>
    <row r="53" spans="1:7" x14ac:dyDescent="0.25">
      <c r="A53" s="113"/>
      <c r="B53" s="114"/>
      <c r="C53" s="177"/>
      <c r="D53" s="107"/>
      <c r="E53" s="107"/>
      <c r="F53" s="106"/>
      <c r="G53" s="106"/>
    </row>
    <row r="54" spans="1:7" x14ac:dyDescent="0.25">
      <c r="A54" s="113">
        <v>520090204</v>
      </c>
      <c r="B54" s="114" t="s">
        <v>446</v>
      </c>
      <c r="C54" s="177">
        <v>0</v>
      </c>
      <c r="D54" s="107"/>
      <c r="E54" s="107"/>
      <c r="F54" s="106"/>
      <c r="G54" s="106"/>
    </row>
    <row r="55" spans="1:7" x14ac:dyDescent="0.25">
      <c r="A55" s="113"/>
      <c r="B55" s="114"/>
      <c r="C55" s="177"/>
      <c r="D55" s="107"/>
      <c r="E55" s="107"/>
      <c r="F55" s="106"/>
      <c r="G55" s="106"/>
    </row>
    <row r="56" spans="1:7" x14ac:dyDescent="0.25">
      <c r="A56" s="113">
        <v>520090205</v>
      </c>
      <c r="B56" s="114" t="s">
        <v>494</v>
      </c>
      <c r="C56" s="237">
        <v>0</v>
      </c>
      <c r="D56" s="107"/>
      <c r="E56" s="107"/>
      <c r="F56" s="106"/>
      <c r="G56" s="106"/>
    </row>
    <row r="57" spans="1:7" x14ac:dyDescent="0.25">
      <c r="A57" s="113"/>
      <c r="B57" s="114"/>
      <c r="C57" s="177"/>
      <c r="D57" s="107"/>
      <c r="E57" s="107"/>
      <c r="F57" s="106"/>
      <c r="G57" s="106"/>
    </row>
    <row r="58" spans="1:7" x14ac:dyDescent="0.25">
      <c r="A58" s="113">
        <v>520090206</v>
      </c>
      <c r="B58" s="114" t="s">
        <v>352</v>
      </c>
      <c r="C58" s="177">
        <v>0</v>
      </c>
      <c r="D58" s="107"/>
      <c r="E58" s="107"/>
      <c r="F58" s="106"/>
      <c r="G58" s="106"/>
    </row>
    <row r="59" spans="1:7" x14ac:dyDescent="0.25">
      <c r="A59" s="113"/>
      <c r="B59" s="114"/>
      <c r="C59" s="177"/>
      <c r="D59" s="107"/>
      <c r="E59" s="107"/>
      <c r="F59" s="106"/>
      <c r="G59" s="106"/>
    </row>
    <row r="60" spans="1:7" x14ac:dyDescent="0.25">
      <c r="A60" s="113">
        <v>520090300</v>
      </c>
      <c r="B60" s="114" t="s">
        <v>442</v>
      </c>
      <c r="C60" s="178">
        <v>4056</v>
      </c>
      <c r="D60" s="107"/>
      <c r="E60" s="107"/>
      <c r="F60" s="106"/>
      <c r="G60" s="106"/>
    </row>
    <row r="61" spans="1:7" x14ac:dyDescent="0.25">
      <c r="A61" s="113"/>
      <c r="B61" s="114"/>
      <c r="C61" s="178"/>
      <c r="D61" s="107"/>
      <c r="E61" s="107"/>
      <c r="F61" s="106"/>
      <c r="G61" s="106"/>
    </row>
    <row r="62" spans="1:7" x14ac:dyDescent="0.25">
      <c r="A62" s="113">
        <v>520090301</v>
      </c>
      <c r="B62" s="114" t="s">
        <v>495</v>
      </c>
      <c r="C62" s="178">
        <v>697</v>
      </c>
      <c r="D62" s="107"/>
      <c r="E62" s="107"/>
      <c r="F62" s="106"/>
      <c r="G62" s="106"/>
    </row>
    <row r="63" spans="1:7" x14ac:dyDescent="0.25">
      <c r="A63" s="113"/>
      <c r="B63" s="114"/>
      <c r="C63" s="178"/>
      <c r="D63" s="107"/>
      <c r="E63" s="107"/>
      <c r="F63" s="106"/>
      <c r="G63" s="106"/>
    </row>
    <row r="64" spans="1:7" x14ac:dyDescent="0.25">
      <c r="A64" s="113">
        <v>520090302</v>
      </c>
      <c r="B64" s="114" t="s">
        <v>402</v>
      </c>
      <c r="C64" s="178">
        <v>538.6</v>
      </c>
      <c r="D64" s="107"/>
      <c r="E64" s="107"/>
      <c r="F64" s="106"/>
      <c r="G64" s="106"/>
    </row>
    <row r="65" spans="1:7" x14ac:dyDescent="0.25">
      <c r="A65" s="113"/>
      <c r="B65" s="114"/>
      <c r="C65" s="178"/>
      <c r="D65" s="107"/>
      <c r="E65" s="107"/>
      <c r="F65" s="106"/>
      <c r="G65" s="106"/>
    </row>
    <row r="66" spans="1:7" x14ac:dyDescent="0.25">
      <c r="A66" s="113">
        <v>520090303</v>
      </c>
      <c r="B66" s="114" t="s">
        <v>407</v>
      </c>
      <c r="C66" s="178">
        <v>0</v>
      </c>
      <c r="D66" s="107"/>
      <c r="E66" s="107"/>
      <c r="F66" s="106"/>
      <c r="G66" s="106"/>
    </row>
    <row r="67" spans="1:7" x14ac:dyDescent="0.25">
      <c r="A67" s="113"/>
      <c r="B67" s="114"/>
      <c r="C67" s="178"/>
      <c r="D67" s="107"/>
      <c r="E67" s="107"/>
      <c r="F67" s="106"/>
      <c r="G67" s="106"/>
    </row>
    <row r="68" spans="1:7" x14ac:dyDescent="0.25">
      <c r="A68" s="113">
        <v>520090304</v>
      </c>
      <c r="B68" s="114" t="s">
        <v>403</v>
      </c>
      <c r="C68" s="178">
        <v>0</v>
      </c>
      <c r="D68" s="107"/>
      <c r="E68" s="107"/>
      <c r="F68" s="106"/>
      <c r="G68" s="106"/>
    </row>
    <row r="69" spans="1:7" x14ac:dyDescent="0.25">
      <c r="A69" s="113"/>
      <c r="B69" s="114"/>
      <c r="C69" s="178"/>
      <c r="D69" s="107"/>
      <c r="E69" s="107"/>
      <c r="F69" s="106"/>
      <c r="G69" s="106"/>
    </row>
    <row r="70" spans="1:7" x14ac:dyDescent="0.25">
      <c r="A70" s="113">
        <v>520090306</v>
      </c>
      <c r="B70" s="114" t="s">
        <v>643</v>
      </c>
      <c r="C70" s="178">
        <v>12322.09</v>
      </c>
      <c r="D70" s="107"/>
      <c r="E70" s="107"/>
      <c r="F70" s="106"/>
      <c r="G70" s="106"/>
    </row>
    <row r="71" spans="1:7" x14ac:dyDescent="0.25">
      <c r="A71" s="113"/>
      <c r="B71" s="114"/>
      <c r="C71" s="178"/>
      <c r="D71" s="107"/>
      <c r="E71" s="107"/>
      <c r="F71" s="106"/>
      <c r="G71" s="106"/>
    </row>
    <row r="72" spans="1:7" x14ac:dyDescent="0.25">
      <c r="A72" s="113">
        <v>520090350</v>
      </c>
      <c r="B72" s="114" t="s">
        <v>672</v>
      </c>
      <c r="C72" s="178">
        <v>1097</v>
      </c>
      <c r="D72" s="107"/>
      <c r="E72" s="107"/>
      <c r="F72" s="106"/>
      <c r="G72" s="106"/>
    </row>
    <row r="73" spans="1:7" x14ac:dyDescent="0.25">
      <c r="A73" s="113"/>
      <c r="B73" s="114"/>
      <c r="C73" s="178"/>
      <c r="D73" s="107"/>
      <c r="E73" s="107"/>
      <c r="F73" s="106"/>
      <c r="G73" s="106"/>
    </row>
    <row r="74" spans="1:7" ht="15.6" x14ac:dyDescent="0.3">
      <c r="A74" s="113">
        <v>520090400</v>
      </c>
      <c r="B74" s="114" t="s">
        <v>92</v>
      </c>
      <c r="C74" s="179">
        <v>6098.68</v>
      </c>
      <c r="D74" s="108"/>
      <c r="E74" s="108"/>
      <c r="F74" s="108"/>
      <c r="G74" s="109"/>
    </row>
    <row r="75" spans="1:7" x14ac:dyDescent="0.25">
      <c r="A75" s="113"/>
      <c r="B75" s="114"/>
      <c r="C75" s="177"/>
      <c r="D75" s="107"/>
      <c r="E75" s="107"/>
      <c r="F75" s="106"/>
      <c r="G75" s="106"/>
    </row>
    <row r="76" spans="1:7" x14ac:dyDescent="0.25">
      <c r="A76" s="113">
        <v>520090401</v>
      </c>
      <c r="B76" s="114" t="s">
        <v>330</v>
      </c>
      <c r="C76" s="179">
        <v>0</v>
      </c>
    </row>
    <row r="77" spans="1:7" x14ac:dyDescent="0.25">
      <c r="A77" s="113"/>
      <c r="B77" s="114"/>
      <c r="C77" s="179"/>
    </row>
    <row r="78" spans="1:7" x14ac:dyDescent="0.25">
      <c r="A78" s="113">
        <v>520090402</v>
      </c>
      <c r="B78" s="114" t="s">
        <v>394</v>
      </c>
      <c r="C78" s="179">
        <v>227.08</v>
      </c>
    </row>
    <row r="79" spans="1:7" x14ac:dyDescent="0.25">
      <c r="A79" s="113"/>
      <c r="B79" s="114"/>
      <c r="C79" s="179"/>
    </row>
    <row r="80" spans="1:7" x14ac:dyDescent="0.25">
      <c r="A80" s="113">
        <v>520090403</v>
      </c>
      <c r="B80" s="114" t="s">
        <v>354</v>
      </c>
      <c r="C80" s="179">
        <v>0</v>
      </c>
    </row>
    <row r="81" spans="1:8" x14ac:dyDescent="0.25">
      <c r="A81" s="113"/>
      <c r="B81" s="114"/>
      <c r="C81" s="179"/>
    </row>
    <row r="82" spans="1:8" x14ac:dyDescent="0.25">
      <c r="A82" s="113">
        <v>520090404</v>
      </c>
      <c r="B82" s="114" t="s">
        <v>355</v>
      </c>
      <c r="C82" s="179">
        <v>6896.29</v>
      </c>
    </row>
    <row r="83" spans="1:8" x14ac:dyDescent="0.25">
      <c r="A83" s="113"/>
      <c r="B83" s="114"/>
      <c r="C83" s="177"/>
      <c r="F83" s="246"/>
      <c r="G83" s="246"/>
      <c r="H83" s="246"/>
    </row>
    <row r="84" spans="1:8" x14ac:dyDescent="0.25">
      <c r="A84" s="113"/>
      <c r="B84" s="114" t="s">
        <v>357</v>
      </c>
      <c r="C84" s="177">
        <f>C2+C6+C8+C12+C14+C16+C10</f>
        <v>75502.989999999991</v>
      </c>
      <c r="F84" s="247"/>
      <c r="G84" s="246"/>
      <c r="H84" s="246"/>
    </row>
    <row r="85" spans="1:8" x14ac:dyDescent="0.25">
      <c r="A85" s="113"/>
      <c r="B85" s="114" t="s">
        <v>358</v>
      </c>
      <c r="C85" s="177">
        <f>C22+C24+C26+C28+C30+C32+C34+C38+C40+C42+C44+C48+C50+C52+C56+C58+C46</f>
        <v>34158.129999999997</v>
      </c>
      <c r="F85" s="247"/>
      <c r="G85" s="246"/>
      <c r="H85" s="246"/>
    </row>
    <row r="86" spans="1:8" x14ac:dyDescent="0.25">
      <c r="A86" s="113"/>
      <c r="B86" s="268" t="s">
        <v>602</v>
      </c>
      <c r="C86" s="269">
        <v>670</v>
      </c>
      <c r="E86" s="104" t="s">
        <v>617</v>
      </c>
      <c r="F86" s="247"/>
      <c r="G86" s="246"/>
      <c r="H86" s="246"/>
    </row>
    <row r="87" spans="1:8" x14ac:dyDescent="0.25">
      <c r="A87" s="113"/>
      <c r="B87" s="114" t="s">
        <v>498</v>
      </c>
      <c r="C87" s="210">
        <f>C74+C76+C78+C80+C82</f>
        <v>13222.05</v>
      </c>
      <c r="F87" s="247"/>
      <c r="G87" s="246"/>
      <c r="H87" s="246"/>
    </row>
    <row r="88" spans="1:8" x14ac:dyDescent="0.25">
      <c r="A88" s="113"/>
      <c r="B88" s="114" t="s">
        <v>359</v>
      </c>
      <c r="C88" s="237">
        <f>SUM(C84:C87)</f>
        <v>123553.17</v>
      </c>
      <c r="E88" s="105">
        <f>C88+C90+C91</f>
        <v>157510.26999999999</v>
      </c>
      <c r="F88" s="247"/>
      <c r="G88" s="246"/>
      <c r="H88" s="246"/>
    </row>
    <row r="89" spans="1:8" x14ac:dyDescent="0.25">
      <c r="E89" s="105">
        <f>SUM('Invoer met subtotalen'!F183:F224)</f>
        <v>157510.53</v>
      </c>
      <c r="F89" s="247"/>
      <c r="G89" s="246"/>
      <c r="H89" s="246"/>
    </row>
    <row r="90" spans="1:8" x14ac:dyDescent="0.25">
      <c r="A90" s="113"/>
      <c r="B90" s="114" t="s">
        <v>340</v>
      </c>
      <c r="C90" s="178">
        <f>C18++C60+C62+C64+C66+C68+C70+C72</f>
        <v>33057.1</v>
      </c>
      <c r="E90" s="105">
        <f>E88-E89</f>
        <v>-0.26000000000931323</v>
      </c>
      <c r="F90" s="247"/>
      <c r="G90" s="248"/>
      <c r="H90" s="246"/>
    </row>
    <row r="91" spans="1:8" x14ac:dyDescent="0.25">
      <c r="A91" s="113"/>
      <c r="B91" s="268" t="s">
        <v>602</v>
      </c>
      <c r="C91" s="355">
        <f>'Invoer met subtotalen'!F224</f>
        <v>900</v>
      </c>
      <c r="E91" s="105"/>
      <c r="F91" s="247"/>
      <c r="G91" s="248"/>
      <c r="H91" s="246"/>
    </row>
    <row r="92" spans="1:8" x14ac:dyDescent="0.25">
      <c r="A92" s="113"/>
      <c r="B92" s="114" t="s">
        <v>436</v>
      </c>
      <c r="C92" s="178">
        <f>-'Invoer met subtotalen'!F233-'Invoer met subtotalen'!F247-'Invoer met subtotalen'!F248</f>
        <v>3500</v>
      </c>
      <c r="E92" s="105"/>
      <c r="F92" s="247"/>
      <c r="G92" s="246"/>
      <c r="H92" s="246"/>
    </row>
    <row r="93" spans="1:8" x14ac:dyDescent="0.25">
      <c r="A93" s="113"/>
      <c r="B93" s="114"/>
      <c r="C93" s="177"/>
      <c r="E93" s="105"/>
      <c r="F93" s="247"/>
      <c r="G93" s="246"/>
      <c r="H93" s="246"/>
    </row>
    <row r="94" spans="1:8" x14ac:dyDescent="0.25">
      <c r="A94" s="113"/>
      <c r="B94" s="114"/>
      <c r="C94" s="177"/>
      <c r="F94" s="247"/>
      <c r="G94" s="246"/>
      <c r="H94" s="246"/>
    </row>
    <row r="95" spans="1:8" x14ac:dyDescent="0.25">
      <c r="B95" s="167" t="s">
        <v>362</v>
      </c>
      <c r="C95" s="105">
        <f>-SUM('Invoer met subtotalen'!F225:F246)-'Invoer met subtotalen'!F255</f>
        <v>25496.26</v>
      </c>
      <c r="F95" s="235"/>
    </row>
    <row r="96" spans="1:8" x14ac:dyDescent="0.25">
      <c r="B96" s="167" t="s">
        <v>430</v>
      </c>
      <c r="C96" s="270">
        <f>-'Invoer met subtotalen'!D251-'Invoer met subtotalen'!D252-'Invoer met subtotalen'!D253-'Invoer met subtotalen'!F250</f>
        <v>0</v>
      </c>
      <c r="F96" s="235"/>
    </row>
    <row r="97" spans="1:6" x14ac:dyDescent="0.25">
      <c r="B97" s="167" t="s">
        <v>589</v>
      </c>
      <c r="C97" s="177">
        <f>-'Invoer met subtotalen'!F258</f>
        <v>0</v>
      </c>
      <c r="F97" s="235"/>
    </row>
    <row r="98" spans="1:6" x14ac:dyDescent="0.25">
      <c r="B98" s="167" t="s">
        <v>544</v>
      </c>
      <c r="C98" s="177">
        <f>-'Invoer met subtotalen'!F257</f>
        <v>350</v>
      </c>
      <c r="F98" s="235"/>
    </row>
    <row r="99" spans="1:6" x14ac:dyDescent="0.25">
      <c r="B99" s="167" t="s">
        <v>437</v>
      </c>
      <c r="C99" s="177">
        <f>-'Invoer met subtotalen'!F256</f>
        <v>450</v>
      </c>
      <c r="F99" s="235"/>
    </row>
    <row r="100" spans="1:6" x14ac:dyDescent="0.25">
      <c r="B100" s="167" t="s">
        <v>94</v>
      </c>
      <c r="C100" s="176">
        <f>-'Invoer met subtotalen'!F254</f>
        <v>850</v>
      </c>
      <c r="F100" s="235"/>
    </row>
    <row r="101" spans="1:6" x14ac:dyDescent="0.25">
      <c r="B101" s="167" t="s">
        <v>363</v>
      </c>
      <c r="C101" s="173">
        <f>+SUM(C95:C100)</f>
        <v>27146.26</v>
      </c>
    </row>
    <row r="102" spans="1:6" x14ac:dyDescent="0.25">
      <c r="A102" s="104"/>
      <c r="B102" s="104"/>
      <c r="C102" s="173"/>
    </row>
  </sheetData>
  <dataConsolidate/>
  <phoneticPr fontId="25" type="noConversion"/>
  <pageMargins left="0.75" right="0.75" top="1" bottom="1" header="0.5" footer="0.5"/>
  <pageSetup paperSize="9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zoomScaleNormal="100" workbookViewId="0">
      <selection activeCell="A2" sqref="A2"/>
    </sheetView>
  </sheetViews>
  <sheetFormatPr defaultRowHeight="15.6" x14ac:dyDescent="0.3"/>
  <sheetData>
    <row r="1" spans="1:5" x14ac:dyDescent="0.3">
      <c r="A1" s="231"/>
    </row>
    <row r="2" spans="1:5" x14ac:dyDescent="0.3">
      <c r="A2" s="231"/>
    </row>
    <row r="3" spans="1:5" ht="22.8" x14ac:dyDescent="0.3">
      <c r="E3" s="232" t="s">
        <v>701</v>
      </c>
    </row>
    <row r="4" spans="1:5" ht="22.8" x14ac:dyDescent="0.3">
      <c r="A4" s="232"/>
    </row>
    <row r="5" spans="1:5" ht="22.8" x14ac:dyDescent="0.3">
      <c r="A5" s="232"/>
    </row>
    <row r="6" spans="1:5" ht="22.8" x14ac:dyDescent="0.3">
      <c r="A6" s="232"/>
    </row>
    <row r="7" spans="1:5" ht="22.8" x14ac:dyDescent="0.3">
      <c r="A7" s="232"/>
    </row>
    <row r="8" spans="1:5" ht="22.8" x14ac:dyDescent="0.3">
      <c r="A8" s="232"/>
    </row>
    <row r="9" spans="1:5" ht="22.8" x14ac:dyDescent="0.3">
      <c r="A9" s="232"/>
    </row>
    <row r="10" spans="1:5" ht="22.8" x14ac:dyDescent="0.3">
      <c r="A10" s="232"/>
    </row>
    <row r="11" spans="1:5" ht="22.8" x14ac:dyDescent="0.3">
      <c r="A11" s="232"/>
    </row>
    <row r="12" spans="1:5" ht="22.8" x14ac:dyDescent="0.3">
      <c r="A12" s="232"/>
    </row>
    <row r="13" spans="1:5" ht="22.8" x14ac:dyDescent="0.3">
      <c r="A13" s="232"/>
    </row>
    <row r="14" spans="1:5" ht="22.8" x14ac:dyDescent="0.3">
      <c r="A14" s="232"/>
    </row>
    <row r="15" spans="1:5" ht="22.8" x14ac:dyDescent="0.3">
      <c r="A15" s="232"/>
    </row>
    <row r="16" spans="1:5" ht="22.8" x14ac:dyDescent="0.3">
      <c r="A16" s="232"/>
    </row>
    <row r="17" spans="1:5" ht="22.8" x14ac:dyDescent="0.3">
      <c r="A17" s="232"/>
    </row>
    <row r="18" spans="1:5" ht="22.8" x14ac:dyDescent="0.3">
      <c r="A18" s="232"/>
    </row>
    <row r="19" spans="1:5" ht="22.8" x14ac:dyDescent="0.3">
      <c r="E19" s="232"/>
    </row>
    <row r="23" spans="1:5" ht="22.8" x14ac:dyDescent="0.3">
      <c r="E23" s="232" t="s">
        <v>586</v>
      </c>
    </row>
  </sheetData>
  <pageMargins left="0.70866141732283472" right="0.70866141732283472" top="0.74803149606299213" bottom="0.74803149606299213" header="0.31496062992125984" footer="0.31496062992125984"/>
  <pageSetup paperSize="9" firstPageNumber="3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O360"/>
  <sheetViews>
    <sheetView zoomScale="90" zoomScaleNormal="90" workbookViewId="0">
      <pane ySplit="1" topLeftCell="A113" activePane="bottomLeft" state="frozen"/>
      <selection pane="bottomLeft" activeCell="E144" sqref="E144"/>
    </sheetView>
  </sheetViews>
  <sheetFormatPr defaultColWidth="8" defaultRowHeight="13.2" outlineLevelCol="1" x14ac:dyDescent="0.25"/>
  <cols>
    <col min="1" max="1" width="9.59765625" style="289" bestFit="1" customWidth="1"/>
    <col min="2" max="2" width="33.59765625" style="289" bestFit="1" customWidth="1"/>
    <col min="3" max="3" width="13.5" style="282" bestFit="1" customWidth="1" outlineLevel="1"/>
    <col min="4" max="4" width="13.5" style="305" bestFit="1" customWidth="1" outlineLevel="1"/>
    <col min="5" max="5" width="12.69921875" style="283" bestFit="1" customWidth="1" outlineLevel="1"/>
    <col min="6" max="6" width="17.3984375" style="284" customWidth="1"/>
    <col min="7" max="7" width="2.3984375" style="285" customWidth="1"/>
    <col min="8" max="8" width="6.59765625" style="330" bestFit="1" customWidth="1"/>
    <col min="9" max="9" width="16.09765625" style="279" customWidth="1"/>
    <col min="10" max="10" width="23.8984375" style="279" bestFit="1" customWidth="1"/>
    <col min="11" max="15" width="9.59765625" style="279" bestFit="1" customWidth="1"/>
    <col min="16" max="16384" width="8" style="279"/>
  </cols>
  <sheetData>
    <row r="1" spans="1:12" x14ac:dyDescent="0.25">
      <c r="A1" s="276" t="s">
        <v>171</v>
      </c>
      <c r="B1" s="276" t="s">
        <v>172</v>
      </c>
      <c r="C1" s="277" t="s">
        <v>173</v>
      </c>
      <c r="D1" s="278" t="s">
        <v>174</v>
      </c>
      <c r="E1" s="338" t="s">
        <v>175</v>
      </c>
      <c r="F1" s="339" t="s">
        <v>51</v>
      </c>
      <c r="G1" s="277" t="s">
        <v>350</v>
      </c>
      <c r="H1" s="278" t="s">
        <v>341</v>
      </c>
    </row>
    <row r="2" spans="1:12" ht="14.25" customHeight="1" x14ac:dyDescent="0.25">
      <c r="A2" s="280">
        <v>100</v>
      </c>
      <c r="B2" s="281" t="s">
        <v>176</v>
      </c>
      <c r="C2" s="282">
        <v>169005.62</v>
      </c>
      <c r="D2" s="282">
        <v>2667.17</v>
      </c>
      <c r="E2" s="283">
        <f>-184+23504+8500</f>
        <v>31820</v>
      </c>
      <c r="F2" s="284">
        <f t="shared" ref="F2:F76" si="0">C2-D2+E2</f>
        <v>198158.44999999998</v>
      </c>
      <c r="H2" s="286" t="s">
        <v>317</v>
      </c>
    </row>
    <row r="3" spans="1:12" x14ac:dyDescent="0.25">
      <c r="A3" s="280">
        <v>100</v>
      </c>
      <c r="B3" s="281" t="s">
        <v>176</v>
      </c>
      <c r="C3" s="282">
        <v>34620.81</v>
      </c>
      <c r="D3" s="282">
        <v>0</v>
      </c>
      <c r="F3" s="284">
        <f t="shared" si="0"/>
        <v>34620.81</v>
      </c>
      <c r="H3" s="286" t="s">
        <v>317</v>
      </c>
    </row>
    <row r="4" spans="1:12" x14ac:dyDescent="0.25">
      <c r="A4" s="280">
        <v>101</v>
      </c>
      <c r="B4" s="281" t="s">
        <v>177</v>
      </c>
      <c r="C4" s="282">
        <v>0</v>
      </c>
      <c r="D4" s="282">
        <v>147031.57999999999</v>
      </c>
      <c r="E4" s="283">
        <v>182</v>
      </c>
      <c r="F4" s="284">
        <f t="shared" si="0"/>
        <v>-146849.57999999999</v>
      </c>
      <c r="H4" s="286" t="s">
        <v>317</v>
      </c>
      <c r="J4" s="287">
        <f>SUM(F2:F6)</f>
        <v>100193.23</v>
      </c>
    </row>
    <row r="5" spans="1:12" x14ac:dyDescent="0.25">
      <c r="A5" s="280">
        <v>101</v>
      </c>
      <c r="B5" s="281" t="s">
        <v>177</v>
      </c>
      <c r="C5" s="282">
        <v>0</v>
      </c>
      <c r="D5" s="282">
        <v>0</v>
      </c>
      <c r="F5" s="284">
        <f t="shared" ref="F5" si="1">C5-D5+E5</f>
        <v>0</v>
      </c>
      <c r="H5" s="286" t="s">
        <v>317</v>
      </c>
      <c r="J5" s="287"/>
      <c r="L5" s="287"/>
    </row>
    <row r="6" spans="1:12" x14ac:dyDescent="0.25">
      <c r="A6" s="280">
        <v>200</v>
      </c>
      <c r="B6" s="281" t="s">
        <v>166</v>
      </c>
      <c r="C6" s="282">
        <v>14263.55</v>
      </c>
      <c r="D6" s="282">
        <v>0</v>
      </c>
      <c r="E6" s="285"/>
      <c r="F6" s="284">
        <f t="shared" si="0"/>
        <v>14263.55</v>
      </c>
      <c r="H6" s="286" t="s">
        <v>317</v>
      </c>
      <c r="J6" s="287"/>
      <c r="L6" s="287"/>
    </row>
    <row r="7" spans="1:12" x14ac:dyDescent="0.25">
      <c r="A7" s="280">
        <v>900</v>
      </c>
      <c r="B7" s="281" t="s">
        <v>179</v>
      </c>
      <c r="C7" s="282">
        <v>0</v>
      </c>
      <c r="D7" s="282">
        <v>356208.6</v>
      </c>
      <c r="F7" s="284">
        <f t="shared" si="0"/>
        <v>-356208.6</v>
      </c>
      <c r="H7" s="286" t="s">
        <v>318</v>
      </c>
      <c r="J7" s="287"/>
      <c r="K7" s="287"/>
    </row>
    <row r="8" spans="1:12" x14ac:dyDescent="0.25">
      <c r="A8" s="280">
        <v>902</v>
      </c>
      <c r="B8" s="281" t="s">
        <v>69</v>
      </c>
      <c r="C8" s="282">
        <v>0</v>
      </c>
      <c r="D8" s="282">
        <v>0</v>
      </c>
      <c r="F8" s="284">
        <f t="shared" si="0"/>
        <v>0</v>
      </c>
      <c r="H8" s="286" t="s">
        <v>69</v>
      </c>
      <c r="J8" s="287"/>
    </row>
    <row r="9" spans="1:12" x14ac:dyDescent="0.25">
      <c r="A9" s="280">
        <v>980</v>
      </c>
      <c r="B9" s="281" t="s">
        <v>180</v>
      </c>
      <c r="C9" s="282">
        <v>0</v>
      </c>
      <c r="D9" s="282">
        <v>83351.009999999995</v>
      </c>
      <c r="F9" s="284">
        <f t="shared" si="0"/>
        <v>-83351.009999999995</v>
      </c>
      <c r="H9" s="286" t="s">
        <v>253</v>
      </c>
    </row>
    <row r="10" spans="1:12" x14ac:dyDescent="0.25">
      <c r="A10" s="280">
        <v>1000</v>
      </c>
      <c r="B10" s="281" t="s">
        <v>229</v>
      </c>
      <c r="C10" s="282">
        <v>0</v>
      </c>
      <c r="D10" s="282">
        <v>0</v>
      </c>
      <c r="F10" s="284">
        <f t="shared" si="0"/>
        <v>0</v>
      </c>
      <c r="H10" s="286" t="s">
        <v>250</v>
      </c>
    </row>
    <row r="11" spans="1:12" x14ac:dyDescent="0.25">
      <c r="A11" s="280">
        <v>1010</v>
      </c>
      <c r="B11" s="281" t="s">
        <v>181</v>
      </c>
      <c r="C11" s="282">
        <v>3677.96</v>
      </c>
      <c r="D11" s="282">
        <v>0</v>
      </c>
      <c r="F11" s="284">
        <f t="shared" si="0"/>
        <v>3677.96</v>
      </c>
      <c r="H11" s="286" t="s">
        <v>250</v>
      </c>
    </row>
    <row r="12" spans="1:12" x14ac:dyDescent="0.25">
      <c r="A12" s="280">
        <v>1011</v>
      </c>
      <c r="B12" s="281" t="s">
        <v>182</v>
      </c>
      <c r="C12" s="282">
        <v>672670.19</v>
      </c>
      <c r="D12" s="282">
        <v>0</v>
      </c>
      <c r="E12" s="350">
        <v>25000</v>
      </c>
      <c r="F12" s="284">
        <f t="shared" si="0"/>
        <v>697670.19</v>
      </c>
      <c r="H12" s="286" t="s">
        <v>250</v>
      </c>
    </row>
    <row r="13" spans="1:12" x14ac:dyDescent="0.25">
      <c r="A13" s="280">
        <v>1019</v>
      </c>
      <c r="B13" s="281" t="s">
        <v>76</v>
      </c>
      <c r="C13" s="282">
        <v>0</v>
      </c>
      <c r="D13" s="282">
        <v>0</v>
      </c>
      <c r="F13" s="284">
        <f t="shared" si="0"/>
        <v>0</v>
      </c>
      <c r="H13" s="286" t="s">
        <v>250</v>
      </c>
    </row>
    <row r="14" spans="1:12" x14ac:dyDescent="0.25">
      <c r="A14" s="280">
        <v>1020</v>
      </c>
      <c r="B14" s="281" t="s">
        <v>183</v>
      </c>
      <c r="C14" s="282">
        <v>16143.23</v>
      </c>
      <c r="D14" s="282">
        <v>0</v>
      </c>
      <c r="F14" s="284">
        <f t="shared" si="0"/>
        <v>16143.23</v>
      </c>
      <c r="H14" s="286" t="s">
        <v>250</v>
      </c>
    </row>
    <row r="15" spans="1:12" x14ac:dyDescent="0.25">
      <c r="A15" s="280">
        <v>1110</v>
      </c>
      <c r="B15" s="281" t="s">
        <v>184</v>
      </c>
      <c r="C15" s="282">
        <v>0</v>
      </c>
      <c r="D15" s="282">
        <v>5347.5</v>
      </c>
      <c r="F15" s="284">
        <f t="shared" si="0"/>
        <v>-5347.5</v>
      </c>
      <c r="H15" s="286" t="s">
        <v>253</v>
      </c>
    </row>
    <row r="16" spans="1:12" x14ac:dyDescent="0.25">
      <c r="A16" s="280">
        <v>1120</v>
      </c>
      <c r="B16" s="281" t="s">
        <v>185</v>
      </c>
      <c r="C16" s="282">
        <v>0</v>
      </c>
      <c r="D16" s="282">
        <v>0</v>
      </c>
      <c r="F16" s="284">
        <f t="shared" si="0"/>
        <v>0</v>
      </c>
      <c r="H16" s="286" t="s">
        <v>254</v>
      </c>
    </row>
    <row r="17" spans="1:11" x14ac:dyDescent="0.25">
      <c r="A17" s="281" t="s">
        <v>186</v>
      </c>
      <c r="B17" s="281" t="s">
        <v>187</v>
      </c>
      <c r="C17" s="282">
        <v>173978.26</v>
      </c>
      <c r="D17" s="282">
        <v>0</v>
      </c>
      <c r="F17" s="284">
        <f t="shared" si="0"/>
        <v>173978.26</v>
      </c>
      <c r="H17" s="286" t="s">
        <v>254</v>
      </c>
    </row>
    <row r="18" spans="1:11" x14ac:dyDescent="0.25">
      <c r="A18" s="280">
        <v>1300</v>
      </c>
      <c r="B18" s="281" t="s">
        <v>228</v>
      </c>
      <c r="C18" s="282">
        <v>71214.399999999994</v>
      </c>
      <c r="D18" s="282">
        <v>0</v>
      </c>
      <c r="E18" s="283">
        <v>145008</v>
      </c>
      <c r="F18" s="284">
        <f t="shared" si="0"/>
        <v>216222.4</v>
      </c>
      <c r="H18" s="286" t="s">
        <v>254</v>
      </c>
    </row>
    <row r="19" spans="1:11" x14ac:dyDescent="0.25">
      <c r="A19" s="280">
        <v>1301</v>
      </c>
      <c r="B19" s="281" t="s">
        <v>70</v>
      </c>
      <c r="C19" s="282">
        <v>0</v>
      </c>
      <c r="D19" s="282">
        <v>0</v>
      </c>
      <c r="F19" s="284">
        <f t="shared" si="0"/>
        <v>0</v>
      </c>
      <c r="H19" s="286" t="s">
        <v>254</v>
      </c>
    </row>
    <row r="20" spans="1:11" x14ac:dyDescent="0.25">
      <c r="A20" s="280">
        <v>1302</v>
      </c>
      <c r="B20" s="281" t="s">
        <v>188</v>
      </c>
      <c r="C20" s="282">
        <v>0</v>
      </c>
      <c r="D20" s="282">
        <v>0</v>
      </c>
      <c r="F20" s="284">
        <f t="shared" si="0"/>
        <v>0</v>
      </c>
      <c r="H20" s="286" t="s">
        <v>254</v>
      </c>
    </row>
    <row r="21" spans="1:11" x14ac:dyDescent="0.25">
      <c r="A21" s="280">
        <v>1305</v>
      </c>
      <c r="B21" s="281" t="s">
        <v>71</v>
      </c>
      <c r="C21" s="282">
        <v>0</v>
      </c>
      <c r="D21" s="282">
        <v>0</v>
      </c>
      <c r="F21" s="284">
        <f t="shared" si="0"/>
        <v>0</v>
      </c>
      <c r="H21" s="286" t="s">
        <v>254</v>
      </c>
    </row>
    <row r="22" spans="1:11" x14ac:dyDescent="0.25">
      <c r="A22" s="280">
        <v>1306</v>
      </c>
      <c r="B22" s="281" t="s">
        <v>189</v>
      </c>
      <c r="C22" s="282">
        <v>1851</v>
      </c>
      <c r="D22" s="282">
        <v>0</v>
      </c>
      <c r="F22" s="284">
        <f>C22-D22+E22</f>
        <v>1851</v>
      </c>
      <c r="H22" s="286" t="s">
        <v>254</v>
      </c>
    </row>
    <row r="23" spans="1:11" x14ac:dyDescent="0.25">
      <c r="A23" s="280">
        <v>1307</v>
      </c>
      <c r="B23" s="281" t="s">
        <v>104</v>
      </c>
      <c r="C23" s="282">
        <v>0</v>
      </c>
      <c r="D23" s="282">
        <v>0</v>
      </c>
      <c r="F23" s="284">
        <f t="shared" si="0"/>
        <v>0</v>
      </c>
      <c r="H23" s="286" t="s">
        <v>253</v>
      </c>
    </row>
    <row r="24" spans="1:11" s="290" customFormat="1" x14ac:dyDescent="0.25">
      <c r="A24" s="288">
        <v>1308</v>
      </c>
      <c r="B24" s="289" t="s">
        <v>107</v>
      </c>
      <c r="C24" s="282">
        <v>0</v>
      </c>
      <c r="D24" s="282">
        <v>4607.5600000000004</v>
      </c>
      <c r="E24" s="349">
        <v>-5500</v>
      </c>
      <c r="F24" s="284">
        <f t="shared" si="0"/>
        <v>-10107.560000000001</v>
      </c>
      <c r="G24" s="285"/>
      <c r="H24" s="286" t="s">
        <v>253</v>
      </c>
    </row>
    <row r="25" spans="1:11" x14ac:dyDescent="0.25">
      <c r="A25" s="280">
        <v>1309</v>
      </c>
      <c r="B25" s="281" t="s">
        <v>190</v>
      </c>
      <c r="C25" s="282">
        <v>0</v>
      </c>
      <c r="D25" s="282">
        <v>0</v>
      </c>
      <c r="F25" s="284">
        <f t="shared" si="0"/>
        <v>0</v>
      </c>
      <c r="H25" s="286" t="s">
        <v>253</v>
      </c>
    </row>
    <row r="26" spans="1:11" x14ac:dyDescent="0.25">
      <c r="A26" s="280">
        <v>1310</v>
      </c>
      <c r="B26" s="281" t="s">
        <v>231</v>
      </c>
      <c r="C26" s="282">
        <v>0</v>
      </c>
      <c r="D26" s="282">
        <v>5970</v>
      </c>
      <c r="E26" s="350">
        <f>-750</f>
        <v>-750</v>
      </c>
      <c r="F26" s="284">
        <f t="shared" si="0"/>
        <v>-6720</v>
      </c>
      <c r="H26" s="286" t="s">
        <v>253</v>
      </c>
    </row>
    <row r="27" spans="1:11" x14ac:dyDescent="0.25">
      <c r="A27" s="280">
        <v>1311</v>
      </c>
      <c r="B27" s="281" t="s">
        <v>191</v>
      </c>
      <c r="C27" s="282">
        <v>0</v>
      </c>
      <c r="D27" s="282">
        <v>0</v>
      </c>
      <c r="E27" s="283">
        <f>-1431907-6000-4000</f>
        <v>-1441907</v>
      </c>
      <c r="F27" s="284">
        <f>C27-D27+E27</f>
        <v>-1441907</v>
      </c>
      <c r="H27" s="286" t="s">
        <v>253</v>
      </c>
    </row>
    <row r="28" spans="1:11" x14ac:dyDescent="0.25">
      <c r="A28" s="280">
        <v>1312</v>
      </c>
      <c r="B28" s="281" t="s">
        <v>192</v>
      </c>
      <c r="C28" s="282">
        <v>886126.5</v>
      </c>
      <c r="D28" s="282">
        <v>0</v>
      </c>
      <c r="F28" s="284">
        <f t="shared" si="0"/>
        <v>886126.5</v>
      </c>
      <c r="H28" s="286" t="s">
        <v>254</v>
      </c>
      <c r="K28" s="285"/>
    </row>
    <row r="29" spans="1:11" x14ac:dyDescent="0.25">
      <c r="A29" s="280">
        <v>1313</v>
      </c>
      <c r="B29" s="281" t="s">
        <v>682</v>
      </c>
      <c r="C29" s="282">
        <v>7142.74</v>
      </c>
      <c r="D29" s="282">
        <v>0</v>
      </c>
      <c r="F29" s="284">
        <f t="shared" ref="F29:F36" si="2">C29-D29+E29</f>
        <v>7142.74</v>
      </c>
      <c r="H29" s="286" t="s">
        <v>254</v>
      </c>
      <c r="K29" s="285"/>
    </row>
    <row r="30" spans="1:11" x14ac:dyDescent="0.25">
      <c r="A30" s="280">
        <v>1314</v>
      </c>
      <c r="B30" s="281" t="s">
        <v>683</v>
      </c>
      <c r="C30" s="282">
        <v>103630.6</v>
      </c>
      <c r="D30" s="282">
        <v>0</v>
      </c>
      <c r="F30" s="284">
        <f t="shared" si="2"/>
        <v>103630.6</v>
      </c>
      <c r="H30" s="286" t="s">
        <v>254</v>
      </c>
      <c r="K30" s="285"/>
    </row>
    <row r="31" spans="1:11" x14ac:dyDescent="0.25">
      <c r="A31" s="280">
        <v>1315</v>
      </c>
      <c r="B31" s="281" t="s">
        <v>684</v>
      </c>
      <c r="C31" s="282">
        <v>854</v>
      </c>
      <c r="D31" s="282">
        <v>0</v>
      </c>
      <c r="F31" s="284">
        <f t="shared" si="2"/>
        <v>854</v>
      </c>
      <c r="H31" s="286" t="s">
        <v>254</v>
      </c>
      <c r="K31" s="285"/>
    </row>
    <row r="32" spans="1:11" x14ac:dyDescent="0.25">
      <c r="A32" s="280">
        <v>1316</v>
      </c>
      <c r="B32" s="281" t="s">
        <v>685</v>
      </c>
      <c r="C32" s="282">
        <v>2700</v>
      </c>
      <c r="D32" s="282">
        <v>0</v>
      </c>
      <c r="F32" s="284">
        <f t="shared" si="2"/>
        <v>2700</v>
      </c>
      <c r="H32" s="286" t="s">
        <v>254</v>
      </c>
      <c r="K32" s="285"/>
    </row>
    <row r="33" spans="1:11" x14ac:dyDescent="0.25">
      <c r="A33" s="280">
        <v>1317</v>
      </c>
      <c r="B33" s="281" t="s">
        <v>686</v>
      </c>
      <c r="C33" s="282">
        <v>402.39</v>
      </c>
      <c r="D33" s="282">
        <v>0</v>
      </c>
      <c r="F33" s="284">
        <f t="shared" si="2"/>
        <v>402.39</v>
      </c>
      <c r="H33" s="286" t="s">
        <v>254</v>
      </c>
      <c r="K33" s="285"/>
    </row>
    <row r="34" spans="1:11" x14ac:dyDescent="0.25">
      <c r="A34" s="280">
        <v>1318</v>
      </c>
      <c r="B34" s="281" t="s">
        <v>687</v>
      </c>
      <c r="C34" s="282">
        <v>968</v>
      </c>
      <c r="D34" s="282">
        <v>0</v>
      </c>
      <c r="F34" s="284">
        <f t="shared" si="2"/>
        <v>968</v>
      </c>
      <c r="H34" s="286" t="s">
        <v>254</v>
      </c>
      <c r="K34" s="285"/>
    </row>
    <row r="35" spans="1:11" x14ac:dyDescent="0.25">
      <c r="A35" s="280">
        <v>1319</v>
      </c>
      <c r="B35" s="281" t="s">
        <v>688</v>
      </c>
      <c r="C35" s="282">
        <v>460.88</v>
      </c>
      <c r="D35" s="282">
        <v>0</v>
      </c>
      <c r="F35" s="284">
        <f t="shared" si="2"/>
        <v>460.88</v>
      </c>
      <c r="H35" s="286" t="s">
        <v>254</v>
      </c>
      <c r="K35" s="285"/>
    </row>
    <row r="36" spans="1:11" x14ac:dyDescent="0.25">
      <c r="A36" s="280">
        <v>1320</v>
      </c>
      <c r="B36" s="281" t="s">
        <v>692</v>
      </c>
      <c r="C36" s="282">
        <v>1579</v>
      </c>
      <c r="D36" s="282">
        <v>0</v>
      </c>
      <c r="F36" s="284">
        <f t="shared" si="2"/>
        <v>1579</v>
      </c>
      <c r="H36" s="286" t="s">
        <v>254</v>
      </c>
      <c r="K36" s="285"/>
    </row>
    <row r="37" spans="1:11" x14ac:dyDescent="0.25">
      <c r="A37" s="280">
        <v>1500</v>
      </c>
      <c r="B37" s="291" t="s">
        <v>514</v>
      </c>
      <c r="C37" s="282">
        <f>745.62+8925</f>
        <v>9670.6200000000008</v>
      </c>
      <c r="D37" s="282">
        <v>0</v>
      </c>
      <c r="E37" s="292">
        <v>-14605.62</v>
      </c>
      <c r="F37" s="284">
        <f t="shared" si="0"/>
        <v>-4935</v>
      </c>
      <c r="G37" s="284"/>
      <c r="H37" s="286" t="s">
        <v>319</v>
      </c>
      <c r="I37" s="293"/>
      <c r="J37" s="293"/>
      <c r="K37" s="285"/>
    </row>
    <row r="38" spans="1:11" x14ac:dyDescent="0.25">
      <c r="A38" s="280">
        <v>1501</v>
      </c>
      <c r="B38" s="291" t="s">
        <v>539</v>
      </c>
      <c r="C38" s="282">
        <v>0</v>
      </c>
      <c r="D38" s="282">
        <v>0</v>
      </c>
      <c r="E38" s="292"/>
      <c r="F38" s="284">
        <f t="shared" ref="F38" si="3">C38-D38+E38</f>
        <v>0</v>
      </c>
      <c r="G38" s="284"/>
      <c r="H38" s="286" t="s">
        <v>319</v>
      </c>
      <c r="I38" s="293"/>
      <c r="J38" s="293"/>
      <c r="K38" s="285"/>
    </row>
    <row r="39" spans="1:11" x14ac:dyDescent="0.25">
      <c r="A39" s="280">
        <v>1502</v>
      </c>
      <c r="B39" s="293" t="s">
        <v>515</v>
      </c>
      <c r="C39" s="282">
        <v>0</v>
      </c>
      <c r="D39" s="282">
        <v>17060.5</v>
      </c>
      <c r="E39" s="292">
        <v>17060.5</v>
      </c>
      <c r="F39" s="284">
        <f t="shared" si="0"/>
        <v>0</v>
      </c>
      <c r="G39" s="284"/>
      <c r="H39" s="286" t="s">
        <v>319</v>
      </c>
      <c r="I39" s="293"/>
      <c r="J39" s="293"/>
      <c r="K39" s="285"/>
    </row>
    <row r="40" spans="1:11" x14ac:dyDescent="0.25">
      <c r="A40" s="280">
        <v>1502</v>
      </c>
      <c r="B40" s="293" t="s">
        <v>693</v>
      </c>
      <c r="C40" s="282">
        <v>0</v>
      </c>
      <c r="D40" s="282">
        <v>79</v>
      </c>
      <c r="E40" s="292">
        <v>79</v>
      </c>
      <c r="F40" s="284">
        <f t="shared" ref="F40" si="4">C40-D40+E40</f>
        <v>0</v>
      </c>
      <c r="G40" s="284"/>
      <c r="H40" s="286" t="s">
        <v>319</v>
      </c>
      <c r="I40" s="293"/>
      <c r="J40" s="293"/>
      <c r="K40" s="285"/>
    </row>
    <row r="41" spans="1:11" x14ac:dyDescent="0.25">
      <c r="A41" s="280">
        <v>1505</v>
      </c>
      <c r="B41" s="293" t="s">
        <v>543</v>
      </c>
      <c r="C41" s="282">
        <v>431.95</v>
      </c>
      <c r="D41" s="282">
        <v>0</v>
      </c>
      <c r="E41" s="292">
        <f>-431.95-2101.93</f>
        <v>-2533.8799999999997</v>
      </c>
      <c r="F41" s="284">
        <f t="shared" ref="F41" si="5">C41-D41+E41</f>
        <v>-2101.9299999999998</v>
      </c>
      <c r="G41" s="284"/>
      <c r="H41" s="286" t="s">
        <v>319</v>
      </c>
      <c r="I41" s="293"/>
      <c r="J41" s="293"/>
      <c r="K41" s="285"/>
    </row>
    <row r="42" spans="1:11" x14ac:dyDescent="0.25">
      <c r="A42" s="281" t="s">
        <v>193</v>
      </c>
      <c r="B42" s="281" t="s">
        <v>257</v>
      </c>
      <c r="C42" s="282">
        <v>0</v>
      </c>
      <c r="D42" s="282">
        <f>81386.83+51425</f>
        <v>132811.83000000002</v>
      </c>
      <c r="E42" s="350">
        <f>-23504-8500</f>
        <v>-32004</v>
      </c>
      <c r="F42" s="284">
        <f t="shared" si="0"/>
        <v>-164815.83000000002</v>
      </c>
      <c r="H42" s="286" t="s">
        <v>257</v>
      </c>
    </row>
    <row r="43" spans="1:11" x14ac:dyDescent="0.25">
      <c r="A43" s="280">
        <v>1800</v>
      </c>
      <c r="B43" s="281" t="s">
        <v>194</v>
      </c>
      <c r="C43" s="282">
        <v>0</v>
      </c>
      <c r="D43" s="282">
        <v>31461.35</v>
      </c>
      <c r="F43" s="284">
        <f t="shared" si="0"/>
        <v>-31461.35</v>
      </c>
      <c r="H43" s="286" t="s">
        <v>319</v>
      </c>
    </row>
    <row r="44" spans="1:11" x14ac:dyDescent="0.25">
      <c r="A44" s="280">
        <v>1900</v>
      </c>
      <c r="B44" s="281" t="s">
        <v>529</v>
      </c>
      <c r="C44" s="282">
        <v>0</v>
      </c>
      <c r="D44" s="282">
        <v>0</v>
      </c>
      <c r="F44" s="284">
        <f t="shared" ref="F44" si="6">C44-D44+E44</f>
        <v>0</v>
      </c>
      <c r="H44" s="286" t="s">
        <v>319</v>
      </c>
    </row>
    <row r="45" spans="1:11" x14ac:dyDescent="0.25">
      <c r="A45" s="280">
        <v>1820</v>
      </c>
      <c r="B45" s="281" t="s">
        <v>195</v>
      </c>
      <c r="C45" s="282">
        <v>0</v>
      </c>
      <c r="D45" s="282">
        <v>0</v>
      </c>
      <c r="F45" s="284">
        <f t="shared" si="0"/>
        <v>0</v>
      </c>
      <c r="H45" s="286" t="s">
        <v>254</v>
      </c>
    </row>
    <row r="46" spans="1:11" x14ac:dyDescent="0.25">
      <c r="A46" s="280">
        <v>2000</v>
      </c>
      <c r="B46" s="281" t="s">
        <v>117</v>
      </c>
      <c r="C46" s="282">
        <v>42147.43</v>
      </c>
      <c r="D46" s="282">
        <v>0</v>
      </c>
      <c r="E46" s="350">
        <v>-25000</v>
      </c>
      <c r="F46" s="284">
        <f t="shared" si="0"/>
        <v>17147.43</v>
      </c>
      <c r="H46" s="286" t="s">
        <v>254</v>
      </c>
    </row>
    <row r="47" spans="1:11" x14ac:dyDescent="0.25">
      <c r="A47" s="280">
        <v>2200</v>
      </c>
      <c r="B47" s="281" t="s">
        <v>118</v>
      </c>
      <c r="C47" s="282">
        <v>0</v>
      </c>
      <c r="D47" s="282">
        <v>141.71</v>
      </c>
      <c r="F47" s="284">
        <f t="shared" si="0"/>
        <v>-141.71</v>
      </c>
      <c r="H47" s="286" t="s">
        <v>253</v>
      </c>
    </row>
    <row r="48" spans="1:11" x14ac:dyDescent="0.25">
      <c r="A48" s="280">
        <v>2210</v>
      </c>
      <c r="B48" s="281" t="s">
        <v>196</v>
      </c>
      <c r="C48" s="282">
        <v>0</v>
      </c>
      <c r="D48" s="282">
        <v>0</v>
      </c>
      <c r="F48" s="284">
        <f t="shared" si="0"/>
        <v>0</v>
      </c>
      <c r="H48" s="286" t="s">
        <v>253</v>
      </c>
    </row>
    <row r="49" spans="1:10" x14ac:dyDescent="0.25">
      <c r="A49" s="280">
        <v>2250</v>
      </c>
      <c r="B49" s="281" t="s">
        <v>197</v>
      </c>
      <c r="C49" s="282">
        <v>0</v>
      </c>
      <c r="D49" s="282">
        <v>2455.7600000000002</v>
      </c>
      <c r="F49" s="284">
        <f t="shared" si="0"/>
        <v>-2455.7600000000002</v>
      </c>
      <c r="H49" s="286" t="s">
        <v>319</v>
      </c>
    </row>
    <row r="50" spans="1:10" x14ac:dyDescent="0.25">
      <c r="A50" s="280">
        <v>2300</v>
      </c>
      <c r="B50" s="281" t="s">
        <v>119</v>
      </c>
      <c r="C50" s="282">
        <v>0</v>
      </c>
      <c r="D50" s="282">
        <v>0</v>
      </c>
      <c r="F50" s="284">
        <f t="shared" si="0"/>
        <v>0</v>
      </c>
      <c r="H50" s="286" t="s">
        <v>253</v>
      </c>
    </row>
    <row r="51" spans="1:10" x14ac:dyDescent="0.25">
      <c r="A51" s="280">
        <v>2400</v>
      </c>
      <c r="B51" s="281" t="s">
        <v>120</v>
      </c>
      <c r="C51" s="282">
        <v>0</v>
      </c>
      <c r="D51" s="282">
        <v>24592.240000000002</v>
      </c>
      <c r="E51" s="283">
        <v>6835</v>
      </c>
      <c r="F51" s="284">
        <f t="shared" si="0"/>
        <v>-17757.240000000002</v>
      </c>
      <c r="H51" s="286" t="s">
        <v>253</v>
      </c>
    </row>
    <row r="52" spans="1:10" x14ac:dyDescent="0.25">
      <c r="A52" s="280">
        <v>2500</v>
      </c>
      <c r="B52" s="281" t="s">
        <v>121</v>
      </c>
      <c r="C52" s="282">
        <v>0</v>
      </c>
      <c r="D52" s="282">
        <v>0</v>
      </c>
      <c r="F52" s="284">
        <f t="shared" si="0"/>
        <v>0</v>
      </c>
      <c r="H52" s="286" t="s">
        <v>254</v>
      </c>
    </row>
    <row r="53" spans="1:10" x14ac:dyDescent="0.25">
      <c r="A53" s="280">
        <v>2610</v>
      </c>
      <c r="B53" s="281" t="s">
        <v>122</v>
      </c>
      <c r="C53" s="282">
        <v>0</v>
      </c>
      <c r="D53" s="282">
        <v>0</v>
      </c>
      <c r="F53" s="284">
        <f t="shared" si="0"/>
        <v>0</v>
      </c>
      <c r="H53" s="286" t="s">
        <v>254</v>
      </c>
    </row>
    <row r="54" spans="1:10" x14ac:dyDescent="0.25">
      <c r="A54" s="280">
        <v>4000</v>
      </c>
      <c r="B54" s="281" t="s">
        <v>198</v>
      </c>
      <c r="C54" s="282">
        <v>277062.82</v>
      </c>
      <c r="D54" s="282">
        <v>0</v>
      </c>
      <c r="F54" s="284">
        <f t="shared" si="0"/>
        <v>277062.82</v>
      </c>
      <c r="H54" s="294" t="s">
        <v>268</v>
      </c>
      <c r="I54" s="290"/>
    </row>
    <row r="55" spans="1:10" x14ac:dyDescent="0.25">
      <c r="A55" s="280">
        <v>4001</v>
      </c>
      <c r="B55" s="281" t="s">
        <v>123</v>
      </c>
      <c r="C55" s="282">
        <v>0</v>
      </c>
      <c r="D55" s="282">
        <v>0</v>
      </c>
      <c r="F55" s="284">
        <f t="shared" si="0"/>
        <v>0</v>
      </c>
      <c r="H55" s="294" t="s">
        <v>268</v>
      </c>
      <c r="I55" s="290"/>
    </row>
    <row r="56" spans="1:10" x14ac:dyDescent="0.25">
      <c r="A56" s="280">
        <v>4002</v>
      </c>
      <c r="B56" s="281" t="s">
        <v>79</v>
      </c>
      <c r="C56" s="282">
        <v>1149.5</v>
      </c>
      <c r="D56" s="282">
        <v>0</v>
      </c>
      <c r="F56" s="284">
        <f t="shared" si="0"/>
        <v>1149.5</v>
      </c>
      <c r="H56" s="294" t="s">
        <v>268</v>
      </c>
      <c r="I56" s="290"/>
    </row>
    <row r="57" spans="1:10" x14ac:dyDescent="0.25">
      <c r="A57" s="280">
        <v>4010</v>
      </c>
      <c r="B57" s="281" t="s">
        <v>130</v>
      </c>
      <c r="C57" s="282">
        <v>0</v>
      </c>
      <c r="D57" s="282">
        <v>0</v>
      </c>
      <c r="F57" s="284">
        <f t="shared" si="0"/>
        <v>0</v>
      </c>
      <c r="H57" s="294" t="s">
        <v>268</v>
      </c>
      <c r="I57" s="290"/>
    </row>
    <row r="58" spans="1:10" x14ac:dyDescent="0.25">
      <c r="A58" s="280">
        <v>4020</v>
      </c>
      <c r="B58" s="281" t="s">
        <v>273</v>
      </c>
      <c r="C58" s="282">
        <v>44645.91</v>
      </c>
      <c r="D58" s="282">
        <v>0</v>
      </c>
      <c r="F58" s="284">
        <f t="shared" si="0"/>
        <v>44645.91</v>
      </c>
      <c r="H58" s="294" t="s">
        <v>268</v>
      </c>
      <c r="I58" s="290"/>
    </row>
    <row r="59" spans="1:10" x14ac:dyDescent="0.25">
      <c r="A59" s="280">
        <v>4025</v>
      </c>
      <c r="B59" s="281" t="s">
        <v>199</v>
      </c>
      <c r="C59" s="282">
        <v>1800</v>
      </c>
      <c r="D59" s="282">
        <v>0</v>
      </c>
      <c r="F59" s="284">
        <f t="shared" si="0"/>
        <v>1800</v>
      </c>
      <c r="H59" s="294" t="s">
        <v>268</v>
      </c>
      <c r="I59" s="290"/>
    </row>
    <row r="60" spans="1:10" x14ac:dyDescent="0.25">
      <c r="A60" s="280">
        <v>4030</v>
      </c>
      <c r="B60" s="281" t="s">
        <v>200</v>
      </c>
      <c r="C60" s="282">
        <v>27442.959999999999</v>
      </c>
      <c r="D60" s="282">
        <v>0</v>
      </c>
      <c r="F60" s="284">
        <f t="shared" si="0"/>
        <v>27442.959999999999</v>
      </c>
      <c r="H60" s="294" t="s">
        <v>268</v>
      </c>
      <c r="I60" s="290"/>
    </row>
    <row r="61" spans="1:10" x14ac:dyDescent="0.25">
      <c r="A61" s="280">
        <v>4035</v>
      </c>
      <c r="B61" s="281" t="s">
        <v>201</v>
      </c>
      <c r="C61" s="282">
        <v>0</v>
      </c>
      <c r="D61" s="282">
        <v>0</v>
      </c>
      <c r="F61" s="284">
        <f t="shared" si="0"/>
        <v>0</v>
      </c>
      <c r="H61" s="294" t="s">
        <v>268</v>
      </c>
      <c r="I61" s="290"/>
    </row>
    <row r="62" spans="1:10" x14ac:dyDescent="0.25">
      <c r="A62" s="280">
        <v>4040</v>
      </c>
      <c r="B62" s="281" t="s">
        <v>202</v>
      </c>
      <c r="C62" s="282">
        <v>6942.05</v>
      </c>
      <c r="D62" s="282">
        <v>0</v>
      </c>
      <c r="F62" s="284">
        <f t="shared" si="0"/>
        <v>6942.05</v>
      </c>
      <c r="H62" s="294" t="s">
        <v>268</v>
      </c>
      <c r="I62" s="290"/>
    </row>
    <row r="63" spans="1:10" x14ac:dyDescent="0.25">
      <c r="A63" s="280">
        <v>4045</v>
      </c>
      <c r="B63" s="281" t="s">
        <v>203</v>
      </c>
      <c r="C63" s="282">
        <v>26561.26</v>
      </c>
      <c r="D63" s="282">
        <v>0</v>
      </c>
      <c r="F63" s="284">
        <f t="shared" si="0"/>
        <v>26561.26</v>
      </c>
      <c r="H63" s="294" t="s">
        <v>268</v>
      </c>
      <c r="I63" s="290"/>
    </row>
    <row r="64" spans="1:10" x14ac:dyDescent="0.25">
      <c r="A64" s="280">
        <v>4050</v>
      </c>
      <c r="B64" s="281" t="s">
        <v>116</v>
      </c>
      <c r="C64" s="282">
        <v>0</v>
      </c>
      <c r="D64" s="282">
        <v>180573.4</v>
      </c>
      <c r="F64" s="284">
        <f t="shared" si="0"/>
        <v>-180573.4</v>
      </c>
      <c r="H64" s="294" t="s">
        <v>268</v>
      </c>
      <c r="I64" s="290"/>
      <c r="J64" s="290"/>
    </row>
    <row r="65" spans="1:10" x14ac:dyDescent="0.25">
      <c r="A65" s="280">
        <v>4051</v>
      </c>
      <c r="B65" s="281" t="s">
        <v>115</v>
      </c>
      <c r="C65" s="282">
        <v>0</v>
      </c>
      <c r="D65" s="282">
        <v>78116</v>
      </c>
      <c r="E65" s="283">
        <v>-2334</v>
      </c>
      <c r="F65" s="284">
        <f t="shared" si="0"/>
        <v>-80450</v>
      </c>
      <c r="H65" s="294" t="s">
        <v>268</v>
      </c>
      <c r="I65" s="290"/>
    </row>
    <row r="66" spans="1:10" x14ac:dyDescent="0.25">
      <c r="A66" s="280">
        <v>4053</v>
      </c>
      <c r="B66" s="281" t="s">
        <v>444</v>
      </c>
      <c r="C66" s="282">
        <v>0</v>
      </c>
      <c r="D66" s="282">
        <v>32740.36</v>
      </c>
      <c r="F66" s="284">
        <f t="shared" ref="F66" si="7">C66-D66+E66</f>
        <v>-32740.36</v>
      </c>
      <c r="H66" s="294" t="s">
        <v>268</v>
      </c>
      <c r="I66" s="290"/>
    </row>
    <row r="67" spans="1:10" x14ac:dyDescent="0.25">
      <c r="A67" s="280">
        <v>4054</v>
      </c>
      <c r="B67" s="281" t="s">
        <v>636</v>
      </c>
      <c r="C67" s="282">
        <v>0</v>
      </c>
      <c r="D67" s="282">
        <v>5607.49</v>
      </c>
      <c r="E67" s="283">
        <v>-1000</v>
      </c>
      <c r="F67" s="284">
        <f t="shared" ref="F67" si="8">C67-D67+E67</f>
        <v>-6607.49</v>
      </c>
      <c r="H67" s="294" t="s">
        <v>268</v>
      </c>
      <c r="I67" s="290"/>
    </row>
    <row r="68" spans="1:10" x14ac:dyDescent="0.25">
      <c r="A68" s="280">
        <v>4070</v>
      </c>
      <c r="B68" s="281" t="s">
        <v>323</v>
      </c>
      <c r="C68" s="282">
        <v>27502.14</v>
      </c>
      <c r="D68" s="282">
        <v>0</v>
      </c>
      <c r="F68" s="284">
        <f t="shared" si="0"/>
        <v>27502.14</v>
      </c>
      <c r="H68" s="294" t="s">
        <v>268</v>
      </c>
      <c r="I68" s="290"/>
    </row>
    <row r="69" spans="1:10" x14ac:dyDescent="0.25">
      <c r="A69" s="280">
        <v>4071</v>
      </c>
      <c r="B69" s="281" t="s">
        <v>204</v>
      </c>
      <c r="C69" s="282">
        <v>0</v>
      </c>
      <c r="D69" s="282">
        <v>0</v>
      </c>
      <c r="F69" s="284">
        <f t="shared" si="0"/>
        <v>0</v>
      </c>
      <c r="H69" s="294" t="s">
        <v>268</v>
      </c>
      <c r="I69" s="290"/>
    </row>
    <row r="70" spans="1:10" x14ac:dyDescent="0.25">
      <c r="A70" s="280">
        <v>4072</v>
      </c>
      <c r="B70" s="281" t="s">
        <v>462</v>
      </c>
      <c r="C70" s="282">
        <v>0</v>
      </c>
      <c r="D70" s="282">
        <v>0</v>
      </c>
      <c r="F70" s="284">
        <f t="shared" si="0"/>
        <v>0</v>
      </c>
      <c r="H70" s="295" t="s">
        <v>90</v>
      </c>
    </row>
    <row r="71" spans="1:10" x14ac:dyDescent="0.25">
      <c r="A71" s="296">
        <v>4080</v>
      </c>
      <c r="B71" s="289" t="s">
        <v>205</v>
      </c>
      <c r="C71" s="282">
        <v>0</v>
      </c>
      <c r="D71" s="282">
        <v>0</v>
      </c>
      <c r="F71" s="284">
        <f t="shared" si="0"/>
        <v>0</v>
      </c>
      <c r="H71" s="294" t="s">
        <v>268</v>
      </c>
    </row>
    <row r="72" spans="1:10" x14ac:dyDescent="0.25">
      <c r="A72" s="280">
        <v>4090</v>
      </c>
      <c r="B72" s="281" t="s">
        <v>124</v>
      </c>
      <c r="C72" s="282">
        <v>0</v>
      </c>
      <c r="D72" s="282">
        <v>0</v>
      </c>
      <c r="F72" s="284">
        <f t="shared" si="0"/>
        <v>0</v>
      </c>
      <c r="H72" s="294" t="s">
        <v>268</v>
      </c>
      <c r="I72" s="290"/>
    </row>
    <row r="73" spans="1:10" x14ac:dyDescent="0.25">
      <c r="A73" s="280">
        <v>4099</v>
      </c>
      <c r="B73" s="281" t="s">
        <v>271</v>
      </c>
      <c r="C73" s="282">
        <v>388.14</v>
      </c>
      <c r="D73" s="282">
        <v>0</v>
      </c>
      <c r="F73" s="284">
        <f t="shared" si="0"/>
        <v>388.14</v>
      </c>
      <c r="H73" s="294" t="s">
        <v>268</v>
      </c>
      <c r="I73" s="290"/>
    </row>
    <row r="74" spans="1:10" x14ac:dyDescent="0.25">
      <c r="A74" s="280">
        <v>4100</v>
      </c>
      <c r="B74" s="281" t="s">
        <v>206</v>
      </c>
      <c r="C74" s="282">
        <v>4470</v>
      </c>
      <c r="D74" s="282">
        <v>0</v>
      </c>
      <c r="E74" s="297"/>
      <c r="F74" s="284">
        <f t="shared" si="0"/>
        <v>4470</v>
      </c>
      <c r="H74" s="298" t="s">
        <v>300</v>
      </c>
    </row>
    <row r="75" spans="1:10" x14ac:dyDescent="0.25">
      <c r="A75" s="280">
        <v>4199</v>
      </c>
      <c r="B75" s="281" t="s">
        <v>596</v>
      </c>
      <c r="C75" s="282">
        <v>500</v>
      </c>
      <c r="D75" s="282">
        <v>0</v>
      </c>
      <c r="E75" s="297"/>
      <c r="F75" s="284">
        <f t="shared" si="0"/>
        <v>500</v>
      </c>
      <c r="H75" s="298" t="s">
        <v>300</v>
      </c>
      <c r="J75" s="287"/>
    </row>
    <row r="76" spans="1:10" x14ac:dyDescent="0.25">
      <c r="A76" s="280">
        <v>4200</v>
      </c>
      <c r="B76" s="281" t="s">
        <v>207</v>
      </c>
      <c r="C76" s="282">
        <v>219.94</v>
      </c>
      <c r="D76" s="282">
        <v>0</v>
      </c>
      <c r="E76" s="297"/>
      <c r="F76" s="284">
        <f t="shared" si="0"/>
        <v>219.94</v>
      </c>
      <c r="H76" s="286" t="s">
        <v>302</v>
      </c>
      <c r="J76" s="287"/>
    </row>
    <row r="77" spans="1:10" x14ac:dyDescent="0.25">
      <c r="A77" s="280">
        <v>4201</v>
      </c>
      <c r="B77" s="281" t="s">
        <v>208</v>
      </c>
      <c r="C77" s="282">
        <v>3776.14</v>
      </c>
      <c r="D77" s="282">
        <v>0</v>
      </c>
      <c r="E77" s="297"/>
      <c r="F77" s="284">
        <f t="shared" ref="F77:F135" si="9">C77-D77+E77</f>
        <v>3776.14</v>
      </c>
      <c r="H77" s="286" t="s">
        <v>302</v>
      </c>
    </row>
    <row r="78" spans="1:10" x14ac:dyDescent="0.25">
      <c r="A78" s="280">
        <v>4202</v>
      </c>
      <c r="B78" s="281" t="s">
        <v>209</v>
      </c>
      <c r="C78" s="282">
        <v>1849.14</v>
      </c>
      <c r="D78" s="282">
        <v>0</v>
      </c>
      <c r="E78" s="299"/>
      <c r="F78" s="284">
        <f t="shared" si="9"/>
        <v>1849.14</v>
      </c>
      <c r="H78" s="286" t="s">
        <v>302</v>
      </c>
      <c r="J78" s="300"/>
    </row>
    <row r="79" spans="1:10" x14ac:dyDescent="0.25">
      <c r="A79" s="280">
        <v>4203</v>
      </c>
      <c r="B79" s="281" t="s">
        <v>530</v>
      </c>
      <c r="C79" s="282">
        <v>5204.8500000000004</v>
      </c>
      <c r="D79" s="282">
        <v>0</v>
      </c>
      <c r="E79" s="285"/>
      <c r="F79" s="284">
        <f t="shared" si="9"/>
        <v>5204.8500000000004</v>
      </c>
      <c r="H79" s="286" t="s">
        <v>302</v>
      </c>
    </row>
    <row r="80" spans="1:10" x14ac:dyDescent="0.25">
      <c r="A80" s="280">
        <v>4204</v>
      </c>
      <c r="B80" s="281" t="s">
        <v>282</v>
      </c>
      <c r="C80" s="282">
        <v>0</v>
      </c>
      <c r="D80" s="282">
        <v>0</v>
      </c>
      <c r="E80" s="297"/>
      <c r="F80" s="284">
        <f t="shared" si="9"/>
        <v>0</v>
      </c>
      <c r="H80" s="286" t="s">
        <v>302</v>
      </c>
    </row>
    <row r="81" spans="1:8" x14ac:dyDescent="0.25">
      <c r="A81" s="280">
        <v>4205</v>
      </c>
      <c r="B81" s="281" t="s">
        <v>261</v>
      </c>
      <c r="C81" s="282">
        <v>149.74</v>
      </c>
      <c r="D81" s="282">
        <v>0</v>
      </c>
      <c r="F81" s="284">
        <f t="shared" si="9"/>
        <v>149.74</v>
      </c>
      <c r="H81" s="286" t="s">
        <v>302</v>
      </c>
    </row>
    <row r="82" spans="1:8" x14ac:dyDescent="0.25">
      <c r="A82" s="280">
        <v>4206</v>
      </c>
      <c r="B82" s="281" t="s">
        <v>283</v>
      </c>
      <c r="C82" s="282">
        <v>8581.33</v>
      </c>
      <c r="D82" s="282">
        <v>0</v>
      </c>
      <c r="E82" s="351"/>
      <c r="F82" s="284">
        <f t="shared" si="9"/>
        <v>8581.33</v>
      </c>
      <c r="H82" s="286" t="s">
        <v>302</v>
      </c>
    </row>
    <row r="83" spans="1:8" x14ac:dyDescent="0.25">
      <c r="A83" s="280">
        <v>4207</v>
      </c>
      <c r="B83" s="281" t="s">
        <v>284</v>
      </c>
      <c r="C83" s="282">
        <v>789.02</v>
      </c>
      <c r="D83" s="282">
        <v>0</v>
      </c>
      <c r="F83" s="284">
        <f t="shared" si="9"/>
        <v>789.02</v>
      </c>
      <c r="H83" s="301" t="s">
        <v>167</v>
      </c>
    </row>
    <row r="84" spans="1:8" x14ac:dyDescent="0.25">
      <c r="A84" s="280">
        <v>4208</v>
      </c>
      <c r="B84" s="281" t="s">
        <v>53</v>
      </c>
      <c r="C84" s="282">
        <v>0</v>
      </c>
      <c r="D84" s="282">
        <v>0</v>
      </c>
      <c r="F84" s="284">
        <f t="shared" si="9"/>
        <v>0</v>
      </c>
      <c r="H84" s="286" t="s">
        <v>322</v>
      </c>
    </row>
    <row r="85" spans="1:8" x14ac:dyDescent="0.25">
      <c r="A85" s="280">
        <v>4210</v>
      </c>
      <c r="B85" s="281" t="s">
        <v>260</v>
      </c>
      <c r="C85" s="282">
        <v>1157.03</v>
      </c>
      <c r="D85" s="282">
        <v>0</v>
      </c>
      <c r="E85" s="350">
        <v>5500</v>
      </c>
      <c r="F85" s="284">
        <f t="shared" si="9"/>
        <v>6657.03</v>
      </c>
      <c r="H85" s="302" t="s">
        <v>269</v>
      </c>
    </row>
    <row r="86" spans="1:8" x14ac:dyDescent="0.25">
      <c r="A86" s="280">
        <v>4211</v>
      </c>
      <c r="B86" s="281" t="s">
        <v>285</v>
      </c>
      <c r="C86" s="282">
        <v>0</v>
      </c>
      <c r="D86" s="282">
        <v>0</v>
      </c>
      <c r="F86" s="284">
        <f t="shared" si="9"/>
        <v>0</v>
      </c>
      <c r="H86" s="302" t="s">
        <v>269</v>
      </c>
    </row>
    <row r="87" spans="1:8" x14ac:dyDescent="0.25">
      <c r="A87" s="280">
        <v>4220</v>
      </c>
      <c r="B87" s="281" t="s">
        <v>286</v>
      </c>
      <c r="C87" s="282">
        <v>1837.86</v>
      </c>
      <c r="D87" s="282">
        <v>0</v>
      </c>
      <c r="E87" s="285"/>
      <c r="F87" s="284">
        <f t="shared" si="9"/>
        <v>1837.86</v>
      </c>
      <c r="H87" s="302" t="s">
        <v>269</v>
      </c>
    </row>
    <row r="88" spans="1:8" x14ac:dyDescent="0.25">
      <c r="A88" s="280">
        <v>4221</v>
      </c>
      <c r="B88" s="281" t="s">
        <v>287</v>
      </c>
      <c r="C88" s="282">
        <v>0</v>
      </c>
      <c r="D88" s="282">
        <v>0</v>
      </c>
      <c r="F88" s="284">
        <f t="shared" si="9"/>
        <v>0</v>
      </c>
      <c r="H88" s="302" t="s">
        <v>269</v>
      </c>
    </row>
    <row r="89" spans="1:8" x14ac:dyDescent="0.25">
      <c r="A89" s="280">
        <v>4222</v>
      </c>
      <c r="B89" s="281" t="s">
        <v>288</v>
      </c>
      <c r="C89" s="282">
        <v>787.87</v>
      </c>
      <c r="D89" s="282">
        <v>0</v>
      </c>
      <c r="F89" s="284">
        <f t="shared" si="9"/>
        <v>787.87</v>
      </c>
      <c r="H89" s="302" t="s">
        <v>269</v>
      </c>
    </row>
    <row r="90" spans="1:8" x14ac:dyDescent="0.25">
      <c r="A90" s="280">
        <v>4225</v>
      </c>
      <c r="B90" s="281" t="s">
        <v>459</v>
      </c>
      <c r="C90" s="282">
        <v>0</v>
      </c>
      <c r="D90" s="282">
        <v>0</v>
      </c>
      <c r="F90" s="284">
        <f t="shared" si="9"/>
        <v>0</v>
      </c>
      <c r="H90" s="302" t="s">
        <v>269</v>
      </c>
    </row>
    <row r="91" spans="1:8" x14ac:dyDescent="0.25">
      <c r="A91" s="280">
        <v>4226</v>
      </c>
      <c r="B91" s="281" t="s">
        <v>289</v>
      </c>
      <c r="C91" s="282">
        <v>0</v>
      </c>
      <c r="D91" s="282">
        <v>0</v>
      </c>
      <c r="F91" s="284">
        <f t="shared" si="9"/>
        <v>0</v>
      </c>
      <c r="H91" s="302" t="s">
        <v>269</v>
      </c>
    </row>
    <row r="92" spans="1:8" x14ac:dyDescent="0.25">
      <c r="A92" s="280">
        <v>4229</v>
      </c>
      <c r="B92" s="281" t="s">
        <v>290</v>
      </c>
      <c r="C92" s="282">
        <v>258.44</v>
      </c>
      <c r="D92" s="282">
        <v>0</v>
      </c>
      <c r="E92" s="297"/>
      <c r="F92" s="284">
        <f t="shared" si="9"/>
        <v>258.44</v>
      </c>
      <c r="H92" s="302" t="s">
        <v>269</v>
      </c>
    </row>
    <row r="93" spans="1:8" x14ac:dyDescent="0.25">
      <c r="A93" s="280">
        <v>4230</v>
      </c>
      <c r="B93" s="281" t="s">
        <v>291</v>
      </c>
      <c r="C93" s="282">
        <v>4895.8100000000004</v>
      </c>
      <c r="D93" s="282">
        <v>0</v>
      </c>
      <c r="F93" s="284">
        <f t="shared" si="9"/>
        <v>4895.8100000000004</v>
      </c>
      <c r="H93" s="302" t="s">
        <v>269</v>
      </c>
    </row>
    <row r="94" spans="1:8" x14ac:dyDescent="0.25">
      <c r="A94" s="280">
        <v>4231</v>
      </c>
      <c r="B94" s="281" t="s">
        <v>292</v>
      </c>
      <c r="C94" s="282">
        <v>785.67</v>
      </c>
      <c r="D94" s="282">
        <v>0</v>
      </c>
      <c r="F94" s="284">
        <f t="shared" si="9"/>
        <v>785.67</v>
      </c>
      <c r="H94" s="302" t="s">
        <v>269</v>
      </c>
    </row>
    <row r="95" spans="1:8" x14ac:dyDescent="0.25">
      <c r="A95" s="280">
        <v>4240</v>
      </c>
      <c r="B95" s="281" t="s">
        <v>293</v>
      </c>
      <c r="C95" s="282">
        <v>0</v>
      </c>
      <c r="D95" s="282">
        <v>0</v>
      </c>
      <c r="F95" s="284">
        <f t="shared" si="9"/>
        <v>0</v>
      </c>
      <c r="H95" s="302" t="s">
        <v>269</v>
      </c>
    </row>
    <row r="96" spans="1:8" x14ac:dyDescent="0.25">
      <c r="A96" s="280">
        <v>4250</v>
      </c>
      <c r="B96" s="281" t="s">
        <v>294</v>
      </c>
      <c r="C96" s="282">
        <v>642.5</v>
      </c>
      <c r="D96" s="282">
        <v>0</v>
      </c>
      <c r="F96" s="284">
        <f t="shared" si="9"/>
        <v>642.5</v>
      </c>
      <c r="H96" s="302" t="s">
        <v>304</v>
      </c>
    </row>
    <row r="97" spans="1:8" x14ac:dyDescent="0.25">
      <c r="A97" s="296">
        <v>4251</v>
      </c>
      <c r="B97" s="289" t="s">
        <v>295</v>
      </c>
      <c r="C97" s="282">
        <v>0</v>
      </c>
      <c r="D97" s="282">
        <v>0</v>
      </c>
      <c r="F97" s="284">
        <f t="shared" si="9"/>
        <v>0</v>
      </c>
      <c r="H97" s="302" t="s">
        <v>164</v>
      </c>
    </row>
    <row r="98" spans="1:8" x14ac:dyDescent="0.25">
      <c r="A98" s="280">
        <v>4252</v>
      </c>
      <c r="B98" s="281" t="s">
        <v>91</v>
      </c>
      <c r="C98" s="282">
        <v>0</v>
      </c>
      <c r="D98" s="282">
        <v>0</v>
      </c>
      <c r="F98" s="284">
        <f t="shared" si="9"/>
        <v>0</v>
      </c>
      <c r="H98" s="301" t="s">
        <v>303</v>
      </c>
    </row>
    <row r="99" spans="1:8" s="281" customFormat="1" x14ac:dyDescent="0.25">
      <c r="A99" s="280">
        <v>4256</v>
      </c>
      <c r="B99" s="281" t="s">
        <v>125</v>
      </c>
      <c r="C99" s="282">
        <v>0</v>
      </c>
      <c r="D99" s="282">
        <v>0</v>
      </c>
      <c r="E99" s="297"/>
      <c r="F99" s="284">
        <f t="shared" si="9"/>
        <v>0</v>
      </c>
      <c r="G99" s="285"/>
      <c r="H99" s="298" t="s">
        <v>301</v>
      </c>
    </row>
    <row r="100" spans="1:8" x14ac:dyDescent="0.25">
      <c r="A100" s="280">
        <v>4259</v>
      </c>
      <c r="B100" s="281" t="s">
        <v>490</v>
      </c>
      <c r="C100" s="282">
        <v>0</v>
      </c>
      <c r="D100" s="282">
        <v>0</v>
      </c>
      <c r="F100" s="284">
        <f t="shared" si="9"/>
        <v>0</v>
      </c>
      <c r="H100" s="302" t="s">
        <v>304</v>
      </c>
    </row>
    <row r="101" spans="1:8" x14ac:dyDescent="0.25">
      <c r="A101" s="280">
        <v>4300</v>
      </c>
      <c r="B101" s="281" t="s">
        <v>296</v>
      </c>
      <c r="C101" s="282">
        <v>15116.83</v>
      </c>
      <c r="D101" s="282">
        <v>0</v>
      </c>
      <c r="F101" s="284">
        <f t="shared" si="9"/>
        <v>15116.83</v>
      </c>
      <c r="H101" s="302" t="s">
        <v>304</v>
      </c>
    </row>
    <row r="102" spans="1:8" x14ac:dyDescent="0.25">
      <c r="A102" s="280">
        <v>4301</v>
      </c>
      <c r="B102" s="281" t="s">
        <v>297</v>
      </c>
      <c r="C102" s="282">
        <v>4047.33</v>
      </c>
      <c r="D102" s="282">
        <v>0</v>
      </c>
      <c r="F102" s="284">
        <f t="shared" si="9"/>
        <v>4047.33</v>
      </c>
      <c r="H102" s="302" t="s">
        <v>304</v>
      </c>
    </row>
    <row r="103" spans="1:8" x14ac:dyDescent="0.25">
      <c r="A103" s="280">
        <v>4302</v>
      </c>
      <c r="B103" s="281" t="s">
        <v>298</v>
      </c>
      <c r="C103" s="282">
        <v>0</v>
      </c>
      <c r="D103" s="282">
        <v>0</v>
      </c>
      <c r="F103" s="284">
        <f t="shared" si="9"/>
        <v>0</v>
      </c>
      <c r="H103" s="302" t="s">
        <v>304</v>
      </c>
    </row>
    <row r="104" spans="1:8" x14ac:dyDescent="0.25">
      <c r="A104" s="280">
        <v>4303</v>
      </c>
      <c r="B104" s="281" t="s">
        <v>299</v>
      </c>
      <c r="C104" s="282">
        <v>10019.709999999999</v>
      </c>
      <c r="D104" s="282">
        <v>0</v>
      </c>
      <c r="E104" s="283">
        <v>1000</v>
      </c>
      <c r="F104" s="284">
        <f t="shared" si="9"/>
        <v>11019.71</v>
      </c>
      <c r="H104" s="302" t="s">
        <v>304</v>
      </c>
    </row>
    <row r="105" spans="1:8" x14ac:dyDescent="0.25">
      <c r="A105" s="280">
        <v>4304</v>
      </c>
      <c r="B105" s="281" t="s">
        <v>222</v>
      </c>
      <c r="C105" s="282">
        <v>0</v>
      </c>
      <c r="D105" s="282">
        <v>0</v>
      </c>
      <c r="F105" s="284">
        <f t="shared" si="9"/>
        <v>0</v>
      </c>
      <c r="H105" s="302" t="s">
        <v>304</v>
      </c>
    </row>
    <row r="106" spans="1:8" x14ac:dyDescent="0.25">
      <c r="A106" s="280">
        <v>4305</v>
      </c>
      <c r="B106" s="281" t="s">
        <v>485</v>
      </c>
      <c r="C106" s="282">
        <v>0</v>
      </c>
      <c r="D106" s="282">
        <v>0</v>
      </c>
      <c r="F106" s="284">
        <f t="shared" si="9"/>
        <v>0</v>
      </c>
      <c r="H106" s="302" t="s">
        <v>304</v>
      </c>
    </row>
    <row r="107" spans="1:8" s="290" customFormat="1" x14ac:dyDescent="0.25">
      <c r="A107" s="288">
        <v>4308</v>
      </c>
      <c r="B107" s="289" t="s">
        <v>516</v>
      </c>
      <c r="C107" s="282">
        <v>0</v>
      </c>
      <c r="D107" s="282">
        <v>0</v>
      </c>
      <c r="E107" s="283"/>
      <c r="F107" s="284">
        <f t="shared" ref="F107" si="10">C107-D107+E107</f>
        <v>0</v>
      </c>
      <c r="G107" s="285"/>
      <c r="H107" s="302" t="s">
        <v>304</v>
      </c>
    </row>
    <row r="108" spans="1:8" s="290" customFormat="1" x14ac:dyDescent="0.25">
      <c r="A108" s="288">
        <v>4309</v>
      </c>
      <c r="B108" s="289" t="s">
        <v>517</v>
      </c>
      <c r="C108" s="282">
        <v>0</v>
      </c>
      <c r="D108" s="282">
        <v>0</v>
      </c>
      <c r="E108" s="283"/>
      <c r="F108" s="284">
        <f t="shared" si="9"/>
        <v>0</v>
      </c>
      <c r="G108" s="285"/>
      <c r="H108" s="302" t="s">
        <v>304</v>
      </c>
    </row>
    <row r="109" spans="1:8" x14ac:dyDescent="0.25">
      <c r="A109" s="280">
        <v>4310</v>
      </c>
      <c r="B109" s="281" t="s">
        <v>131</v>
      </c>
      <c r="C109" s="282">
        <v>353.23</v>
      </c>
      <c r="D109" s="282">
        <v>0</v>
      </c>
      <c r="F109" s="284">
        <f t="shared" si="9"/>
        <v>353.23</v>
      </c>
      <c r="H109" s="302" t="s">
        <v>304</v>
      </c>
    </row>
    <row r="110" spans="1:8" x14ac:dyDescent="0.25">
      <c r="A110" s="280">
        <v>4311</v>
      </c>
      <c r="B110" s="281" t="s">
        <v>64</v>
      </c>
      <c r="C110" s="282">
        <v>0</v>
      </c>
      <c r="D110" s="282">
        <v>0</v>
      </c>
      <c r="F110" s="284">
        <f t="shared" si="9"/>
        <v>0</v>
      </c>
      <c r="H110" s="302" t="s">
        <v>304</v>
      </c>
    </row>
    <row r="111" spans="1:8" x14ac:dyDescent="0.25">
      <c r="A111" s="280">
        <v>4313</v>
      </c>
      <c r="B111" s="281" t="s">
        <v>132</v>
      </c>
      <c r="C111" s="282">
        <v>0</v>
      </c>
      <c r="D111" s="282">
        <v>0</v>
      </c>
      <c r="F111" s="284">
        <f t="shared" si="9"/>
        <v>0</v>
      </c>
      <c r="H111" s="302" t="s">
        <v>304</v>
      </c>
    </row>
    <row r="112" spans="1:8" x14ac:dyDescent="0.25">
      <c r="A112" s="280">
        <v>4314</v>
      </c>
      <c r="B112" s="281" t="s">
        <v>680</v>
      </c>
      <c r="C112" s="282">
        <v>3136</v>
      </c>
      <c r="D112" s="282">
        <v>0</v>
      </c>
      <c r="F112" s="284">
        <f t="shared" si="9"/>
        <v>3136</v>
      </c>
      <c r="H112" s="286" t="s">
        <v>629</v>
      </c>
    </row>
    <row r="113" spans="1:10" x14ac:dyDescent="0.25">
      <c r="A113" s="280">
        <v>4315</v>
      </c>
      <c r="B113" s="281" t="s">
        <v>348</v>
      </c>
      <c r="C113" s="282">
        <v>0</v>
      </c>
      <c r="D113" s="282">
        <v>0</v>
      </c>
      <c r="F113" s="284">
        <f t="shared" si="9"/>
        <v>0</v>
      </c>
      <c r="H113" s="302" t="s">
        <v>304</v>
      </c>
    </row>
    <row r="114" spans="1:10" x14ac:dyDescent="0.25">
      <c r="A114" s="280">
        <v>4316</v>
      </c>
      <c r="B114" s="281" t="s">
        <v>133</v>
      </c>
      <c r="C114" s="282">
        <v>0</v>
      </c>
      <c r="D114" s="282">
        <v>0</v>
      </c>
      <c r="F114" s="284">
        <f t="shared" si="9"/>
        <v>0</v>
      </c>
      <c r="H114" s="302" t="s">
        <v>304</v>
      </c>
    </row>
    <row r="115" spans="1:10" x14ac:dyDescent="0.25">
      <c r="A115" s="280">
        <v>4317</v>
      </c>
      <c r="B115" s="281" t="s">
        <v>80</v>
      </c>
      <c r="C115" s="282">
        <v>0</v>
      </c>
      <c r="D115" s="282">
        <v>0</v>
      </c>
      <c r="F115" s="284">
        <f t="shared" si="9"/>
        <v>0</v>
      </c>
      <c r="H115" s="302" t="s">
        <v>304</v>
      </c>
    </row>
    <row r="116" spans="1:10" x14ac:dyDescent="0.25">
      <c r="A116" s="280">
        <v>4318</v>
      </c>
      <c r="B116" s="281" t="s">
        <v>26</v>
      </c>
      <c r="C116" s="282">
        <v>457.19</v>
      </c>
      <c r="D116" s="282">
        <v>0</v>
      </c>
      <c r="F116" s="284">
        <f t="shared" si="9"/>
        <v>457.19</v>
      </c>
      <c r="H116" s="302" t="s">
        <v>304</v>
      </c>
    </row>
    <row r="117" spans="1:10" x14ac:dyDescent="0.25">
      <c r="A117" s="280">
        <v>4319</v>
      </c>
      <c r="B117" s="281" t="s">
        <v>448</v>
      </c>
      <c r="C117" s="282">
        <v>0</v>
      </c>
      <c r="D117" s="282">
        <v>2000</v>
      </c>
      <c r="F117" s="284">
        <f t="shared" ref="F117" si="11">C117-D117+E117</f>
        <v>-2000</v>
      </c>
      <c r="H117" s="302" t="s">
        <v>304</v>
      </c>
    </row>
    <row r="118" spans="1:10" x14ac:dyDescent="0.25">
      <c r="A118" s="280">
        <v>4500</v>
      </c>
      <c r="B118" s="281" t="s">
        <v>134</v>
      </c>
      <c r="C118" s="282">
        <v>360.37</v>
      </c>
      <c r="D118" s="282">
        <v>0</v>
      </c>
      <c r="F118" s="284">
        <f t="shared" si="9"/>
        <v>360.37</v>
      </c>
      <c r="H118" s="298" t="s">
        <v>301</v>
      </c>
    </row>
    <row r="119" spans="1:10" x14ac:dyDescent="0.25">
      <c r="A119" s="280">
        <v>4501</v>
      </c>
      <c r="B119" s="281" t="s">
        <v>335</v>
      </c>
      <c r="C119" s="282">
        <v>0</v>
      </c>
      <c r="D119" s="282">
        <v>0</v>
      </c>
      <c r="F119" s="284">
        <f t="shared" si="9"/>
        <v>0</v>
      </c>
      <c r="H119" s="298" t="s">
        <v>301</v>
      </c>
    </row>
    <row r="120" spans="1:10" x14ac:dyDescent="0.25">
      <c r="A120" s="280">
        <v>4502</v>
      </c>
      <c r="B120" s="281" t="s">
        <v>457</v>
      </c>
      <c r="C120" s="282">
        <v>11300.71</v>
      </c>
      <c r="D120" s="282">
        <v>0</v>
      </c>
      <c r="F120" s="284">
        <f t="shared" si="9"/>
        <v>11300.71</v>
      </c>
      <c r="H120" s="298" t="s">
        <v>301</v>
      </c>
    </row>
    <row r="121" spans="1:10" x14ac:dyDescent="0.25">
      <c r="A121" s="280">
        <v>4503</v>
      </c>
      <c r="B121" s="281" t="s">
        <v>135</v>
      </c>
      <c r="C121" s="282">
        <v>1814.24</v>
      </c>
      <c r="D121" s="282">
        <v>0</v>
      </c>
      <c r="F121" s="284">
        <f t="shared" si="9"/>
        <v>1814.24</v>
      </c>
      <c r="H121" s="298" t="s">
        <v>301</v>
      </c>
    </row>
    <row r="122" spans="1:10" x14ac:dyDescent="0.25">
      <c r="A122" s="280">
        <v>4504</v>
      </c>
      <c r="B122" s="279" t="s">
        <v>458</v>
      </c>
      <c r="C122" s="282">
        <v>0</v>
      </c>
      <c r="D122" s="282">
        <v>0</v>
      </c>
      <c r="F122" s="284">
        <f t="shared" ref="F122" si="12">C122-D122+E122</f>
        <v>0</v>
      </c>
      <c r="H122" s="294" t="s">
        <v>301</v>
      </c>
      <c r="I122" s="290"/>
    </row>
    <row r="123" spans="1:10" x14ac:dyDescent="0.25">
      <c r="A123" s="280">
        <v>4505</v>
      </c>
      <c r="B123" s="281" t="s">
        <v>136</v>
      </c>
      <c r="C123" s="282">
        <v>22424.65</v>
      </c>
      <c r="D123" s="282">
        <v>0</v>
      </c>
      <c r="F123" s="284">
        <f t="shared" si="9"/>
        <v>22424.65</v>
      </c>
      <c r="H123" s="294" t="s">
        <v>301</v>
      </c>
      <c r="I123" s="290"/>
    </row>
    <row r="124" spans="1:10" x14ac:dyDescent="0.25">
      <c r="A124" s="280">
        <v>4506</v>
      </c>
      <c r="B124" s="281" t="s">
        <v>699</v>
      </c>
      <c r="C124" s="282">
        <v>0</v>
      </c>
      <c r="D124" s="282">
        <v>0</v>
      </c>
      <c r="F124" s="284">
        <f t="shared" si="9"/>
        <v>0</v>
      </c>
      <c r="H124" s="294" t="s">
        <v>301</v>
      </c>
      <c r="I124" s="290"/>
    </row>
    <row r="125" spans="1:10" x14ac:dyDescent="0.25">
      <c r="A125" s="280">
        <v>4600</v>
      </c>
      <c r="B125" s="281" t="s">
        <v>137</v>
      </c>
      <c r="C125" s="282">
        <v>39160.699999999997</v>
      </c>
      <c r="D125" s="282">
        <v>0</v>
      </c>
      <c r="F125" s="284">
        <f t="shared" si="9"/>
        <v>39160.699999999997</v>
      </c>
      <c r="H125" s="303" t="s">
        <v>301</v>
      </c>
      <c r="I125" s="290"/>
      <c r="J125" s="282"/>
    </row>
    <row r="126" spans="1:10" x14ac:dyDescent="0.25">
      <c r="A126" s="280">
        <v>4601</v>
      </c>
      <c r="B126" s="281" t="s">
        <v>138</v>
      </c>
      <c r="C126" s="282">
        <v>0</v>
      </c>
      <c r="D126" s="282">
        <v>0</v>
      </c>
      <c r="F126" s="284">
        <f t="shared" si="9"/>
        <v>0</v>
      </c>
      <c r="H126" s="303" t="s">
        <v>301</v>
      </c>
      <c r="I126" s="290"/>
      <c r="J126" s="282"/>
    </row>
    <row r="127" spans="1:10" x14ac:dyDescent="0.25">
      <c r="A127" s="280">
        <v>4615</v>
      </c>
      <c r="B127" s="281" t="s">
        <v>210</v>
      </c>
      <c r="C127" s="282">
        <v>1086.5</v>
      </c>
      <c r="D127" s="282">
        <v>0</v>
      </c>
      <c r="F127" s="284">
        <f t="shared" si="9"/>
        <v>1086.5</v>
      </c>
      <c r="H127" s="303" t="s">
        <v>301</v>
      </c>
      <c r="I127" s="290"/>
    </row>
    <row r="128" spans="1:10" x14ac:dyDescent="0.25">
      <c r="A128" s="280">
        <v>4700</v>
      </c>
      <c r="B128" s="281" t="s">
        <v>139</v>
      </c>
      <c r="C128" s="282">
        <v>0</v>
      </c>
      <c r="D128" s="282">
        <v>0</v>
      </c>
      <c r="F128" s="284">
        <f t="shared" si="9"/>
        <v>0</v>
      </c>
      <c r="H128" s="302" t="s">
        <v>269</v>
      </c>
    </row>
    <row r="129" spans="1:9" x14ac:dyDescent="0.25">
      <c r="A129" s="280">
        <v>4701</v>
      </c>
      <c r="B129" s="281" t="s">
        <v>140</v>
      </c>
      <c r="C129" s="282">
        <v>0</v>
      </c>
      <c r="D129" s="282">
        <v>0</v>
      </c>
      <c r="F129" s="284">
        <f t="shared" si="9"/>
        <v>0</v>
      </c>
      <c r="H129" s="302" t="s">
        <v>269</v>
      </c>
    </row>
    <row r="130" spans="1:9" x14ac:dyDescent="0.25">
      <c r="A130" s="304">
        <v>4850</v>
      </c>
      <c r="B130" s="300" t="s">
        <v>336</v>
      </c>
      <c r="C130" s="282">
        <v>18000</v>
      </c>
      <c r="D130" s="282">
        <v>0</v>
      </c>
      <c r="F130" s="284">
        <f t="shared" si="9"/>
        <v>18000</v>
      </c>
      <c r="H130" s="286" t="s">
        <v>337</v>
      </c>
    </row>
    <row r="131" spans="1:9" x14ac:dyDescent="0.25">
      <c r="A131" s="304">
        <v>4851</v>
      </c>
      <c r="B131" s="300" t="s">
        <v>499</v>
      </c>
      <c r="C131" s="282">
        <v>4305.66</v>
      </c>
      <c r="D131" s="282">
        <v>0</v>
      </c>
      <c r="F131" s="284">
        <f t="shared" si="9"/>
        <v>4305.66</v>
      </c>
      <c r="H131" s="286" t="s">
        <v>337</v>
      </c>
    </row>
    <row r="132" spans="1:9" x14ac:dyDescent="0.25">
      <c r="A132" s="304">
        <v>4852</v>
      </c>
      <c r="B132" s="300" t="s">
        <v>500</v>
      </c>
      <c r="C132" s="282">
        <v>15511.06</v>
      </c>
      <c r="D132" s="282">
        <v>0</v>
      </c>
      <c r="F132" s="284">
        <f t="shared" ref="F132" si="13">C132-D132+E132</f>
        <v>15511.06</v>
      </c>
      <c r="H132" s="286" t="s">
        <v>337</v>
      </c>
    </row>
    <row r="133" spans="1:9" x14ac:dyDescent="0.25">
      <c r="A133" s="280">
        <v>4853</v>
      </c>
      <c r="B133" s="281" t="s">
        <v>628</v>
      </c>
      <c r="C133" s="282">
        <v>1577.56</v>
      </c>
      <c r="D133" s="282">
        <v>0</v>
      </c>
      <c r="F133" s="284">
        <f t="shared" ref="F133" si="14">C133-D133+E133</f>
        <v>1577.56</v>
      </c>
      <c r="H133" s="286" t="s">
        <v>629</v>
      </c>
    </row>
    <row r="134" spans="1:9" x14ac:dyDescent="0.25">
      <c r="A134" s="280">
        <v>4900</v>
      </c>
      <c r="B134" s="281" t="s">
        <v>141</v>
      </c>
      <c r="C134" s="282">
        <v>0</v>
      </c>
      <c r="D134" s="282">
        <v>0</v>
      </c>
      <c r="F134" s="284">
        <f t="shared" si="9"/>
        <v>0</v>
      </c>
      <c r="H134" s="301" t="s">
        <v>303</v>
      </c>
      <c r="I134" s="340"/>
    </row>
    <row r="135" spans="1:9" x14ac:dyDescent="0.25">
      <c r="A135" s="280">
        <v>490090900</v>
      </c>
      <c r="B135" s="281" t="s">
        <v>211</v>
      </c>
      <c r="C135" s="282">
        <v>3221.4</v>
      </c>
      <c r="D135" s="282">
        <v>0</v>
      </c>
      <c r="F135" s="284">
        <f t="shared" si="9"/>
        <v>3221.4</v>
      </c>
      <c r="H135" s="301" t="s">
        <v>303</v>
      </c>
      <c r="I135" s="340"/>
    </row>
    <row r="136" spans="1:9" x14ac:dyDescent="0.25">
      <c r="A136" s="280">
        <v>490090901</v>
      </c>
      <c r="B136" s="281" t="s">
        <v>212</v>
      </c>
      <c r="C136" s="282">
        <v>333.33</v>
      </c>
      <c r="D136" s="282">
        <v>0</v>
      </c>
      <c r="F136" s="284">
        <f t="shared" ref="F136:F195" si="15">C136-D136+E136</f>
        <v>333.33</v>
      </c>
      <c r="H136" s="301" t="s">
        <v>303</v>
      </c>
      <c r="I136" s="340"/>
    </row>
    <row r="137" spans="1:9" x14ac:dyDescent="0.25">
      <c r="A137" s="280">
        <v>490090911</v>
      </c>
      <c r="B137" s="281" t="s">
        <v>213</v>
      </c>
      <c r="C137" s="282">
        <v>16226.75</v>
      </c>
      <c r="D137" s="282">
        <v>0</v>
      </c>
      <c r="F137" s="284">
        <f t="shared" si="15"/>
        <v>16226.75</v>
      </c>
      <c r="H137" s="301" t="s">
        <v>303</v>
      </c>
      <c r="I137" s="340"/>
    </row>
    <row r="138" spans="1:9" x14ac:dyDescent="0.25">
      <c r="A138" s="280">
        <v>490090930</v>
      </c>
      <c r="B138" s="281" t="s">
        <v>75</v>
      </c>
      <c r="C138" s="282">
        <v>0</v>
      </c>
      <c r="D138" s="282">
        <v>3705</v>
      </c>
      <c r="F138" s="284">
        <f t="shared" si="15"/>
        <v>-3705</v>
      </c>
      <c r="H138" s="301" t="s">
        <v>303</v>
      </c>
      <c r="I138" s="340"/>
    </row>
    <row r="139" spans="1:9" x14ac:dyDescent="0.25">
      <c r="A139" s="280">
        <v>490090931</v>
      </c>
      <c r="B139" s="281" t="s">
        <v>214</v>
      </c>
      <c r="C139" s="282">
        <v>2845.21</v>
      </c>
      <c r="D139" s="282">
        <v>0</v>
      </c>
      <c r="F139" s="284">
        <f t="shared" si="15"/>
        <v>2845.21</v>
      </c>
      <c r="H139" s="301" t="s">
        <v>303</v>
      </c>
      <c r="I139" s="340"/>
    </row>
    <row r="140" spans="1:9" x14ac:dyDescent="0.25">
      <c r="A140" s="280">
        <v>490090932</v>
      </c>
      <c r="B140" s="281" t="s">
        <v>4</v>
      </c>
      <c r="C140" s="282">
        <v>0</v>
      </c>
      <c r="D140" s="282">
        <v>750</v>
      </c>
      <c r="E140" s="350">
        <v>750</v>
      </c>
      <c r="F140" s="284">
        <f t="shared" si="15"/>
        <v>0</v>
      </c>
      <c r="H140" s="301" t="s">
        <v>303</v>
      </c>
      <c r="I140" s="340"/>
    </row>
    <row r="141" spans="1:9" x14ac:dyDescent="0.25">
      <c r="A141" s="280">
        <v>490090936</v>
      </c>
      <c r="B141" s="281" t="s">
        <v>55</v>
      </c>
      <c r="C141" s="282">
        <v>3415.67</v>
      </c>
      <c r="D141" s="282">
        <v>0</v>
      </c>
      <c r="F141" s="284">
        <f t="shared" si="15"/>
        <v>3415.67</v>
      </c>
      <c r="H141" s="301" t="s">
        <v>303</v>
      </c>
      <c r="I141" s="340"/>
    </row>
    <row r="142" spans="1:9" x14ac:dyDescent="0.25">
      <c r="A142" s="280">
        <v>490090937</v>
      </c>
      <c r="B142" s="281" t="s">
        <v>698</v>
      </c>
      <c r="C142" s="282">
        <v>0</v>
      </c>
      <c r="D142" s="282">
        <v>0</v>
      </c>
      <c r="F142" s="284">
        <f t="shared" ref="F142" si="16">C142-D142+E142</f>
        <v>0</v>
      </c>
      <c r="H142" s="301" t="s">
        <v>303</v>
      </c>
      <c r="I142" s="340"/>
    </row>
    <row r="143" spans="1:9" x14ac:dyDescent="0.25">
      <c r="A143" s="280">
        <v>490090940</v>
      </c>
      <c r="B143" s="281" t="s">
        <v>388</v>
      </c>
      <c r="C143" s="282">
        <v>33593.620000000003</v>
      </c>
      <c r="D143" s="282">
        <v>0</v>
      </c>
      <c r="E143" s="283">
        <v>2334</v>
      </c>
      <c r="F143" s="284">
        <f t="shared" si="15"/>
        <v>35927.620000000003</v>
      </c>
      <c r="H143" s="301" t="s">
        <v>303</v>
      </c>
      <c r="I143" s="340"/>
    </row>
    <row r="144" spans="1:9" x14ac:dyDescent="0.25">
      <c r="A144" s="280">
        <v>490090960</v>
      </c>
      <c r="B144" s="281" t="s">
        <v>81</v>
      </c>
      <c r="C144" s="282">
        <v>1333.33</v>
      </c>
      <c r="D144" s="282">
        <v>0</v>
      </c>
      <c r="F144" s="284">
        <f t="shared" si="15"/>
        <v>1333.33</v>
      </c>
      <c r="H144" s="301" t="s">
        <v>303</v>
      </c>
    </row>
    <row r="145" spans="1:10" x14ac:dyDescent="0.25">
      <c r="A145" s="280">
        <v>490090970</v>
      </c>
      <c r="B145" s="281" t="s">
        <v>333</v>
      </c>
      <c r="C145" s="282">
        <v>28896.62</v>
      </c>
      <c r="D145" s="282">
        <v>0</v>
      </c>
      <c r="F145" s="284">
        <f t="shared" si="15"/>
        <v>28896.62</v>
      </c>
      <c r="H145" s="301" t="s">
        <v>303</v>
      </c>
    </row>
    <row r="146" spans="1:10" x14ac:dyDescent="0.25">
      <c r="A146" s="280">
        <v>4905</v>
      </c>
      <c r="B146" s="286" t="s">
        <v>89</v>
      </c>
      <c r="C146" s="282">
        <v>10321.67</v>
      </c>
      <c r="D146" s="282">
        <v>0</v>
      </c>
      <c r="F146" s="284">
        <f t="shared" si="15"/>
        <v>10321.67</v>
      </c>
      <c r="H146" s="301" t="s">
        <v>303</v>
      </c>
    </row>
    <row r="147" spans="1:10" x14ac:dyDescent="0.25">
      <c r="A147" s="280">
        <v>4990</v>
      </c>
      <c r="B147" s="281" t="s">
        <v>695</v>
      </c>
      <c r="C147" s="282">
        <v>9621.4699999999993</v>
      </c>
      <c r="D147" s="282">
        <v>0</v>
      </c>
      <c r="F147" s="284">
        <f t="shared" si="15"/>
        <v>9621.4699999999993</v>
      </c>
      <c r="H147" s="301" t="s">
        <v>630</v>
      </c>
      <c r="I147" s="287"/>
      <c r="J147" s="287"/>
    </row>
    <row r="148" spans="1:10" x14ac:dyDescent="0.25">
      <c r="A148" s="280">
        <v>4991</v>
      </c>
      <c r="B148" s="281" t="s">
        <v>696</v>
      </c>
      <c r="C148" s="282">
        <v>0</v>
      </c>
      <c r="D148" s="282">
        <v>0</v>
      </c>
      <c r="F148" s="284">
        <f t="shared" ref="F148:F149" si="17">C148-D148+E148</f>
        <v>0</v>
      </c>
      <c r="H148" s="301" t="s">
        <v>630</v>
      </c>
      <c r="I148" s="287"/>
      <c r="J148" s="287"/>
    </row>
    <row r="149" spans="1:10" x14ac:dyDescent="0.25">
      <c r="A149" s="280">
        <v>4992</v>
      </c>
      <c r="B149" s="281" t="s">
        <v>697</v>
      </c>
      <c r="C149" s="282">
        <v>3039.9</v>
      </c>
      <c r="D149" s="282">
        <v>0</v>
      </c>
      <c r="F149" s="284">
        <f t="shared" si="17"/>
        <v>3039.9</v>
      </c>
      <c r="H149" s="301" t="s">
        <v>630</v>
      </c>
      <c r="I149" s="287"/>
      <c r="J149" s="287"/>
    </row>
    <row r="150" spans="1:10" x14ac:dyDescent="0.25">
      <c r="A150" s="280">
        <v>4999</v>
      </c>
      <c r="B150" s="281" t="s">
        <v>143</v>
      </c>
      <c r="C150" s="282">
        <v>13837</v>
      </c>
      <c r="D150" s="282">
        <v>0</v>
      </c>
      <c r="F150" s="284">
        <f t="shared" si="15"/>
        <v>13837</v>
      </c>
      <c r="H150" s="298" t="s">
        <v>266</v>
      </c>
      <c r="I150" s="287"/>
    </row>
    <row r="151" spans="1:10" x14ac:dyDescent="0.25">
      <c r="A151" s="288">
        <v>5100</v>
      </c>
      <c r="B151" s="289" t="s">
        <v>215</v>
      </c>
      <c r="C151" s="282">
        <v>32708.959999999999</v>
      </c>
      <c r="D151" s="282">
        <v>0</v>
      </c>
      <c r="F151" s="284">
        <f t="shared" si="15"/>
        <v>32708.959999999999</v>
      </c>
      <c r="H151" s="302" t="s">
        <v>164</v>
      </c>
    </row>
    <row r="152" spans="1:10" x14ac:dyDescent="0.25">
      <c r="A152" s="288">
        <v>5101</v>
      </c>
      <c r="B152" s="289" t="s">
        <v>216</v>
      </c>
      <c r="C152" s="282">
        <v>1517.54</v>
      </c>
      <c r="D152" s="282">
        <v>0</v>
      </c>
      <c r="F152" s="284">
        <f t="shared" si="15"/>
        <v>1517.54</v>
      </c>
      <c r="H152" s="302" t="s">
        <v>164</v>
      </c>
      <c r="I152" s="287"/>
    </row>
    <row r="153" spans="1:10" x14ac:dyDescent="0.25">
      <c r="A153" s="288">
        <v>5102</v>
      </c>
      <c r="B153" s="289" t="s">
        <v>217</v>
      </c>
      <c r="C153" s="282">
        <v>31514.27</v>
      </c>
      <c r="D153" s="282">
        <v>0</v>
      </c>
      <c r="F153" s="284">
        <f t="shared" si="15"/>
        <v>31514.27</v>
      </c>
      <c r="H153" s="302" t="s">
        <v>164</v>
      </c>
    </row>
    <row r="154" spans="1:10" x14ac:dyDescent="0.25">
      <c r="A154" s="288">
        <v>5103</v>
      </c>
      <c r="B154" s="289" t="s">
        <v>218</v>
      </c>
      <c r="C154" s="282">
        <v>403.44</v>
      </c>
      <c r="D154" s="282">
        <v>0</v>
      </c>
      <c r="F154" s="284">
        <f t="shared" si="15"/>
        <v>403.44</v>
      </c>
      <c r="H154" s="302" t="s">
        <v>164</v>
      </c>
    </row>
    <row r="155" spans="1:10" x14ac:dyDescent="0.25">
      <c r="A155" s="288">
        <v>5104</v>
      </c>
      <c r="B155" s="289" t="s">
        <v>219</v>
      </c>
      <c r="C155" s="282">
        <v>23962.85</v>
      </c>
      <c r="D155" s="282">
        <v>0</v>
      </c>
      <c r="F155" s="284">
        <f t="shared" si="15"/>
        <v>23962.85</v>
      </c>
      <c r="H155" s="302" t="s">
        <v>164</v>
      </c>
    </row>
    <row r="156" spans="1:10" x14ac:dyDescent="0.25">
      <c r="A156" s="288">
        <v>5105</v>
      </c>
      <c r="B156" s="289" t="s">
        <v>220</v>
      </c>
      <c r="C156" s="282">
        <v>306.64</v>
      </c>
      <c r="D156" s="282">
        <v>0</v>
      </c>
      <c r="F156" s="284">
        <f t="shared" si="15"/>
        <v>306.64</v>
      </c>
      <c r="H156" s="302" t="s">
        <v>164</v>
      </c>
    </row>
    <row r="157" spans="1:10" x14ac:dyDescent="0.25">
      <c r="A157" s="288">
        <v>5106</v>
      </c>
      <c r="B157" s="289" t="s">
        <v>221</v>
      </c>
      <c r="C157" s="282">
        <v>0</v>
      </c>
      <c r="D157" s="282">
        <v>0</v>
      </c>
      <c r="F157" s="284">
        <f t="shared" si="15"/>
        <v>0</v>
      </c>
      <c r="H157" s="302" t="s">
        <v>164</v>
      </c>
      <c r="I157" s="290"/>
    </row>
    <row r="158" spans="1:10" x14ac:dyDescent="0.25">
      <c r="A158" s="288">
        <v>5107</v>
      </c>
      <c r="B158" s="289" t="s">
        <v>400</v>
      </c>
      <c r="C158" s="282">
        <v>23962.85</v>
      </c>
      <c r="D158" s="282">
        <v>0</v>
      </c>
      <c r="F158" s="284">
        <f t="shared" si="15"/>
        <v>23962.85</v>
      </c>
      <c r="H158" s="302" t="s">
        <v>164</v>
      </c>
      <c r="I158" s="290"/>
    </row>
    <row r="159" spans="1:10" x14ac:dyDescent="0.25">
      <c r="A159" s="288">
        <v>5108</v>
      </c>
      <c r="B159" s="289" t="s">
        <v>383</v>
      </c>
      <c r="C159" s="282">
        <v>556.75</v>
      </c>
      <c r="D159" s="282">
        <v>0</v>
      </c>
      <c r="F159" s="284">
        <f t="shared" si="15"/>
        <v>556.75</v>
      </c>
      <c r="H159" s="302" t="s">
        <v>164</v>
      </c>
      <c r="I159" s="290"/>
    </row>
    <row r="160" spans="1:10" x14ac:dyDescent="0.25">
      <c r="A160" s="288">
        <v>5109</v>
      </c>
      <c r="B160" s="289" t="s">
        <v>384</v>
      </c>
      <c r="C160" s="282">
        <v>23962.85</v>
      </c>
      <c r="D160" s="282">
        <v>0</v>
      </c>
      <c r="F160" s="284">
        <f t="shared" si="15"/>
        <v>23962.85</v>
      </c>
      <c r="H160" s="302" t="s">
        <v>164</v>
      </c>
      <c r="I160" s="290"/>
    </row>
    <row r="161" spans="1:14" x14ac:dyDescent="0.25">
      <c r="A161" s="288">
        <v>5110</v>
      </c>
      <c r="B161" s="289" t="s">
        <v>385</v>
      </c>
      <c r="C161" s="282">
        <v>705.58</v>
      </c>
      <c r="D161" s="282">
        <v>0</v>
      </c>
      <c r="F161" s="284">
        <f t="shared" si="15"/>
        <v>705.58</v>
      </c>
      <c r="H161" s="302" t="s">
        <v>164</v>
      </c>
      <c r="I161" s="290"/>
    </row>
    <row r="162" spans="1:14" x14ac:dyDescent="0.25">
      <c r="A162" s="288">
        <v>5111</v>
      </c>
      <c r="B162" s="289" t="s">
        <v>128</v>
      </c>
      <c r="C162" s="282">
        <v>3662.4</v>
      </c>
      <c r="D162" s="282">
        <v>0</v>
      </c>
      <c r="F162" s="284">
        <f t="shared" si="15"/>
        <v>3662.4</v>
      </c>
      <c r="H162" s="302" t="s">
        <v>164</v>
      </c>
      <c r="I162" s="290"/>
    </row>
    <row r="163" spans="1:14" x14ac:dyDescent="0.25">
      <c r="A163" s="288">
        <v>5112</v>
      </c>
      <c r="B163" s="289" t="s">
        <v>449</v>
      </c>
      <c r="C163" s="282">
        <v>50</v>
      </c>
      <c r="D163" s="282">
        <v>0</v>
      </c>
      <c r="F163" s="284">
        <f t="shared" si="15"/>
        <v>50</v>
      </c>
      <c r="H163" s="302" t="s">
        <v>164</v>
      </c>
    </row>
    <row r="164" spans="1:14" x14ac:dyDescent="0.25">
      <c r="A164" s="288">
        <v>5113</v>
      </c>
      <c r="B164" s="289" t="s">
        <v>82</v>
      </c>
      <c r="C164" s="282">
        <v>0</v>
      </c>
      <c r="D164" s="282">
        <v>0</v>
      </c>
      <c r="F164" s="284">
        <f t="shared" si="15"/>
        <v>0</v>
      </c>
      <c r="H164" s="302" t="s">
        <v>164</v>
      </c>
    </row>
    <row r="165" spans="1:14" x14ac:dyDescent="0.25">
      <c r="A165" s="288">
        <v>5114</v>
      </c>
      <c r="B165" s="289" t="s">
        <v>83</v>
      </c>
      <c r="C165" s="282">
        <v>472.03</v>
      </c>
      <c r="D165" s="282">
        <v>0</v>
      </c>
      <c r="F165" s="284">
        <f t="shared" si="15"/>
        <v>472.03</v>
      </c>
      <c r="H165" s="302" t="s">
        <v>164</v>
      </c>
    </row>
    <row r="166" spans="1:14" x14ac:dyDescent="0.25">
      <c r="A166" s="288">
        <v>5115</v>
      </c>
      <c r="B166" s="289" t="s">
        <v>438</v>
      </c>
      <c r="C166" s="282">
        <v>0</v>
      </c>
      <c r="D166" s="282">
        <v>0</v>
      </c>
      <c r="F166" s="284">
        <f t="shared" si="15"/>
        <v>0</v>
      </c>
      <c r="H166" s="302" t="s">
        <v>164</v>
      </c>
    </row>
    <row r="167" spans="1:14" x14ac:dyDescent="0.25">
      <c r="A167" s="288">
        <v>5116</v>
      </c>
      <c r="B167" s="289" t="s">
        <v>98</v>
      </c>
      <c r="C167" s="282">
        <v>0</v>
      </c>
      <c r="D167" s="282">
        <v>0</v>
      </c>
      <c r="F167" s="284">
        <f t="shared" si="15"/>
        <v>0</v>
      </c>
      <c r="H167" s="302" t="s">
        <v>164</v>
      </c>
    </row>
    <row r="168" spans="1:14" x14ac:dyDescent="0.25">
      <c r="A168" s="288">
        <v>5117</v>
      </c>
      <c r="B168" s="289" t="s">
        <v>99</v>
      </c>
      <c r="C168" s="282">
        <v>0</v>
      </c>
      <c r="D168" s="282">
        <v>0</v>
      </c>
      <c r="F168" s="284">
        <f t="shared" si="15"/>
        <v>0</v>
      </c>
      <c r="H168" s="302" t="s">
        <v>164</v>
      </c>
    </row>
    <row r="169" spans="1:14" x14ac:dyDescent="0.25">
      <c r="A169" s="288">
        <v>5118</v>
      </c>
      <c r="B169" s="289" t="s">
        <v>100</v>
      </c>
      <c r="C169" s="282">
        <v>0</v>
      </c>
      <c r="D169" s="282">
        <v>0</v>
      </c>
      <c r="F169" s="284">
        <f t="shared" si="15"/>
        <v>0</v>
      </c>
      <c r="H169" s="302" t="s">
        <v>164</v>
      </c>
    </row>
    <row r="170" spans="1:14" x14ac:dyDescent="0.25">
      <c r="A170" s="288">
        <v>5119</v>
      </c>
      <c r="B170" s="289" t="s">
        <v>96</v>
      </c>
      <c r="C170" s="282">
        <v>0</v>
      </c>
      <c r="D170" s="282">
        <v>0</v>
      </c>
      <c r="F170" s="284">
        <f t="shared" si="15"/>
        <v>0</v>
      </c>
      <c r="H170" s="302" t="s">
        <v>164</v>
      </c>
    </row>
    <row r="171" spans="1:14" x14ac:dyDescent="0.25">
      <c r="A171" s="288">
        <v>5120</v>
      </c>
      <c r="B171" s="289" t="s">
        <v>144</v>
      </c>
      <c r="C171" s="282">
        <v>935.97</v>
      </c>
      <c r="D171" s="282">
        <v>0</v>
      </c>
      <c r="F171" s="284">
        <f t="shared" si="15"/>
        <v>935.97</v>
      </c>
      <c r="H171" s="302" t="s">
        <v>164</v>
      </c>
    </row>
    <row r="172" spans="1:14" x14ac:dyDescent="0.25">
      <c r="A172" s="288">
        <v>5121</v>
      </c>
      <c r="B172" s="289" t="s">
        <v>450</v>
      </c>
      <c r="C172" s="282">
        <v>0</v>
      </c>
      <c r="D172" s="282">
        <v>0</v>
      </c>
      <c r="F172" s="284">
        <f t="shared" si="15"/>
        <v>0</v>
      </c>
      <c r="H172" s="302" t="s">
        <v>164</v>
      </c>
      <c r="I172" s="341"/>
      <c r="J172" s="342"/>
      <c r="K172" s="305"/>
      <c r="L172" s="305"/>
      <c r="M172" s="283"/>
      <c r="N172" s="283"/>
    </row>
    <row r="173" spans="1:14" x14ac:dyDescent="0.25">
      <c r="A173" s="288">
        <v>5122</v>
      </c>
      <c r="B173" s="289" t="s">
        <v>590</v>
      </c>
      <c r="C173" s="282">
        <v>0</v>
      </c>
      <c r="D173" s="282">
        <v>0</v>
      </c>
      <c r="F173" s="284">
        <f t="shared" si="15"/>
        <v>0</v>
      </c>
      <c r="H173" s="302" t="s">
        <v>164</v>
      </c>
      <c r="I173" s="341"/>
      <c r="J173" s="342"/>
      <c r="K173" s="305"/>
      <c r="L173" s="305"/>
      <c r="M173" s="283"/>
      <c r="N173" s="283"/>
    </row>
    <row r="174" spans="1:14" x14ac:dyDescent="0.25">
      <c r="A174" s="288">
        <v>5123</v>
      </c>
      <c r="B174" s="289" t="s">
        <v>423</v>
      </c>
      <c r="C174" s="282">
        <v>2106.64</v>
      </c>
      <c r="D174" s="282">
        <v>0</v>
      </c>
      <c r="F174" s="284">
        <f t="shared" si="15"/>
        <v>2106.64</v>
      </c>
      <c r="H174" s="302" t="s">
        <v>164</v>
      </c>
      <c r="I174" s="341"/>
      <c r="J174" s="342"/>
      <c r="K174" s="305"/>
      <c r="L174" s="305"/>
      <c r="M174" s="283"/>
      <c r="N174" s="283"/>
    </row>
    <row r="175" spans="1:14" x14ac:dyDescent="0.25">
      <c r="A175" s="288">
        <v>5124</v>
      </c>
      <c r="B175" s="289" t="s">
        <v>74</v>
      </c>
      <c r="C175" s="282">
        <v>17048.150000000001</v>
      </c>
      <c r="D175" s="282">
        <v>0</v>
      </c>
      <c r="F175" s="284">
        <f t="shared" si="15"/>
        <v>17048.150000000001</v>
      </c>
      <c r="H175" s="302" t="s">
        <v>164</v>
      </c>
      <c r="I175" s="341"/>
      <c r="J175" s="342"/>
      <c r="K175" s="305"/>
      <c r="L175" s="305"/>
      <c r="M175" s="283"/>
      <c r="N175" s="283"/>
    </row>
    <row r="176" spans="1:14" x14ac:dyDescent="0.25">
      <c r="A176" s="288">
        <v>5125</v>
      </c>
      <c r="B176" s="289" t="s">
        <v>544</v>
      </c>
      <c r="C176" s="282">
        <v>2319.0300000000002</v>
      </c>
      <c r="D176" s="282">
        <v>0</v>
      </c>
      <c r="F176" s="284">
        <f t="shared" ref="F176:F179" si="18">C176-D176+E176</f>
        <v>2319.0300000000002</v>
      </c>
      <c r="H176" s="302" t="s">
        <v>164</v>
      </c>
      <c r="I176" s="341"/>
      <c r="J176" s="342"/>
      <c r="K176" s="305"/>
      <c r="L176" s="305"/>
      <c r="M176" s="283"/>
      <c r="N176" s="283"/>
    </row>
    <row r="177" spans="1:14" x14ac:dyDescent="0.25">
      <c r="A177" s="288">
        <v>5126</v>
      </c>
      <c r="B177" s="289" t="s">
        <v>437</v>
      </c>
      <c r="C177" s="282">
        <v>6827.33</v>
      </c>
      <c r="D177" s="282">
        <v>0</v>
      </c>
      <c r="F177" s="284">
        <f t="shared" si="18"/>
        <v>6827.33</v>
      </c>
      <c r="H177" s="302" t="s">
        <v>164</v>
      </c>
      <c r="I177" s="341"/>
      <c r="J177" s="306"/>
      <c r="K177" s="305"/>
      <c r="L177" s="305"/>
      <c r="M177" s="283"/>
      <c r="N177" s="283"/>
    </row>
    <row r="178" spans="1:14" x14ac:dyDescent="0.25">
      <c r="A178" s="288">
        <v>5127</v>
      </c>
      <c r="B178" s="289" t="s">
        <v>519</v>
      </c>
      <c r="C178" s="282">
        <v>16457.439999999999</v>
      </c>
      <c r="D178" s="282">
        <v>0</v>
      </c>
      <c r="F178" s="284">
        <f t="shared" si="18"/>
        <v>16457.439999999999</v>
      </c>
      <c r="H178" s="302" t="s">
        <v>164</v>
      </c>
      <c r="I178" s="341"/>
      <c r="J178" s="342"/>
      <c r="K178" s="305"/>
      <c r="L178" s="305"/>
      <c r="M178" s="283"/>
      <c r="N178" s="283"/>
    </row>
    <row r="179" spans="1:14" x14ac:dyDescent="0.25">
      <c r="A179" s="288">
        <v>5128</v>
      </c>
      <c r="B179" s="289" t="s">
        <v>518</v>
      </c>
      <c r="C179" s="282">
        <v>308.10000000000002</v>
      </c>
      <c r="D179" s="282">
        <v>0</v>
      </c>
      <c r="F179" s="284">
        <f t="shared" si="18"/>
        <v>308.10000000000002</v>
      </c>
      <c r="H179" s="302" t="s">
        <v>164</v>
      </c>
      <c r="I179" s="341"/>
      <c r="J179" s="342"/>
      <c r="K179" s="305"/>
      <c r="L179" s="305"/>
      <c r="M179" s="283"/>
      <c r="N179" s="283"/>
    </row>
    <row r="180" spans="1:14" x14ac:dyDescent="0.25">
      <c r="A180" s="288">
        <v>5129</v>
      </c>
      <c r="B180" s="289" t="s">
        <v>528</v>
      </c>
      <c r="C180" s="282">
        <v>4042.33</v>
      </c>
      <c r="D180" s="282">
        <v>0</v>
      </c>
      <c r="F180" s="284">
        <f t="shared" ref="F180" si="19">C180-D180+E180</f>
        <v>4042.33</v>
      </c>
      <c r="H180" s="302" t="s">
        <v>164</v>
      </c>
      <c r="I180" s="341"/>
      <c r="J180" s="342"/>
      <c r="K180" s="305"/>
      <c r="L180" s="305"/>
      <c r="M180" s="283"/>
      <c r="N180" s="283"/>
    </row>
    <row r="181" spans="1:14" x14ac:dyDescent="0.25">
      <c r="A181" s="288">
        <v>5130</v>
      </c>
      <c r="B181" s="289" t="s">
        <v>597</v>
      </c>
      <c r="C181" s="282">
        <v>23962.29</v>
      </c>
      <c r="D181" s="282">
        <v>0</v>
      </c>
      <c r="F181" s="284">
        <f t="shared" ref="F181" si="20">C181-D181+E181</f>
        <v>23962.29</v>
      </c>
      <c r="H181" s="302" t="s">
        <v>164</v>
      </c>
      <c r="I181" s="341"/>
      <c r="J181" s="342"/>
      <c r="K181" s="305"/>
      <c r="L181" s="305"/>
      <c r="M181" s="283"/>
      <c r="N181" s="283"/>
    </row>
    <row r="182" spans="1:14" x14ac:dyDescent="0.25">
      <c r="A182" s="288">
        <v>5131</v>
      </c>
      <c r="B182" s="289" t="s">
        <v>600</v>
      </c>
      <c r="C182" s="282">
        <v>2955</v>
      </c>
      <c r="D182" s="282">
        <v>0</v>
      </c>
      <c r="F182" s="284">
        <f t="shared" ref="F182" si="21">C182-D182+E182</f>
        <v>2955</v>
      </c>
      <c r="H182" s="302" t="s">
        <v>164</v>
      </c>
      <c r="I182" s="341"/>
      <c r="J182" s="342"/>
      <c r="K182" s="305"/>
      <c r="L182" s="305"/>
      <c r="M182" s="283"/>
      <c r="N182" s="283"/>
    </row>
    <row r="183" spans="1:14" x14ac:dyDescent="0.25">
      <c r="A183" s="314">
        <v>520090001</v>
      </c>
      <c r="B183" s="306" t="s">
        <v>545</v>
      </c>
      <c r="C183" s="282">
        <v>25499.07</v>
      </c>
      <c r="D183" s="282">
        <v>0</v>
      </c>
      <c r="F183" s="284">
        <f t="shared" si="15"/>
        <v>25499.07</v>
      </c>
      <c r="H183" s="302" t="s">
        <v>164</v>
      </c>
      <c r="I183" s="341"/>
      <c r="J183" s="342"/>
      <c r="K183" s="305"/>
      <c r="L183" s="305"/>
      <c r="M183" s="283"/>
      <c r="N183" s="283"/>
    </row>
    <row r="184" spans="1:14" x14ac:dyDescent="0.25">
      <c r="A184" s="314">
        <v>520090002</v>
      </c>
      <c r="B184" s="306" t="s">
        <v>545</v>
      </c>
      <c r="C184" s="282">
        <v>0</v>
      </c>
      <c r="D184" s="282">
        <v>0</v>
      </c>
      <c r="F184" s="284">
        <f t="shared" si="15"/>
        <v>0</v>
      </c>
      <c r="H184" s="302" t="s">
        <v>164</v>
      </c>
      <c r="I184" s="341"/>
      <c r="J184" s="342"/>
      <c r="K184" s="305"/>
      <c r="L184" s="305"/>
      <c r="M184" s="283"/>
      <c r="N184" s="283"/>
    </row>
    <row r="185" spans="1:14" x14ac:dyDescent="0.25">
      <c r="A185" s="314">
        <v>520090003</v>
      </c>
      <c r="B185" s="306" t="s">
        <v>545</v>
      </c>
      <c r="C185" s="282">
        <v>22260.85</v>
      </c>
      <c r="D185" s="282">
        <v>0</v>
      </c>
      <c r="E185" s="285"/>
      <c r="F185" s="284">
        <f t="shared" si="15"/>
        <v>22260.85</v>
      </c>
      <c r="H185" s="302" t="s">
        <v>164</v>
      </c>
      <c r="I185" s="341"/>
      <c r="J185" s="342"/>
      <c r="K185" s="305"/>
      <c r="L185" s="305"/>
      <c r="M185" s="283"/>
      <c r="N185" s="283"/>
    </row>
    <row r="186" spans="1:14" x14ac:dyDescent="0.25">
      <c r="A186" s="314">
        <v>520090004</v>
      </c>
      <c r="B186" s="306" t="s">
        <v>545</v>
      </c>
      <c r="C186" s="282">
        <v>3301.33</v>
      </c>
      <c r="D186" s="282">
        <v>0</v>
      </c>
      <c r="E186" s="285"/>
      <c r="F186" s="284">
        <f t="shared" si="15"/>
        <v>3301.33</v>
      </c>
      <c r="H186" s="302" t="s">
        <v>164</v>
      </c>
      <c r="I186" s="341"/>
      <c r="J186" s="342"/>
      <c r="K186" s="305"/>
      <c r="L186" s="305"/>
      <c r="M186" s="283"/>
      <c r="N186" s="283"/>
    </row>
    <row r="187" spans="1:14" x14ac:dyDescent="0.25">
      <c r="A187" s="314">
        <v>520090005</v>
      </c>
      <c r="B187" s="306" t="s">
        <v>545</v>
      </c>
      <c r="C187" s="282">
        <v>10820</v>
      </c>
      <c r="D187" s="282">
        <v>0</v>
      </c>
      <c r="F187" s="284">
        <f>C187-D187+E188</f>
        <v>10820</v>
      </c>
      <c r="H187" s="302" t="s">
        <v>164</v>
      </c>
      <c r="I187" s="341"/>
      <c r="J187" s="342"/>
      <c r="K187" s="305"/>
      <c r="L187" s="305"/>
      <c r="M187" s="283"/>
      <c r="N187" s="283"/>
    </row>
    <row r="188" spans="1:14" s="281" customFormat="1" x14ac:dyDescent="0.25">
      <c r="A188" s="314">
        <v>520090006</v>
      </c>
      <c r="B188" s="306" t="s">
        <v>545</v>
      </c>
      <c r="C188" s="282">
        <v>12819.99</v>
      </c>
      <c r="D188" s="282">
        <v>0</v>
      </c>
      <c r="E188" s="285"/>
      <c r="F188" s="284">
        <f>C188-D188+E188</f>
        <v>12819.99</v>
      </c>
      <c r="G188" s="285"/>
      <c r="H188" s="302" t="s">
        <v>164</v>
      </c>
      <c r="I188" s="314"/>
      <c r="J188" s="306"/>
      <c r="K188" s="282"/>
      <c r="L188" s="282"/>
      <c r="M188" s="285"/>
      <c r="N188" s="285"/>
    </row>
    <row r="189" spans="1:14" x14ac:dyDescent="0.25">
      <c r="A189" s="314">
        <v>520090007</v>
      </c>
      <c r="B189" s="306" t="s">
        <v>545</v>
      </c>
      <c r="C189" s="282">
        <v>801.75</v>
      </c>
      <c r="D189" s="282">
        <v>0</v>
      </c>
      <c r="E189" s="285"/>
      <c r="F189" s="284">
        <f t="shared" si="15"/>
        <v>801.75</v>
      </c>
      <c r="H189" s="302" t="s">
        <v>164</v>
      </c>
      <c r="I189" s="341"/>
      <c r="J189" s="342"/>
      <c r="K189" s="305"/>
      <c r="L189" s="305"/>
      <c r="M189" s="283"/>
      <c r="N189" s="283"/>
    </row>
    <row r="190" spans="1:14" x14ac:dyDescent="0.25">
      <c r="A190" s="314">
        <v>520090008</v>
      </c>
      <c r="B190" s="306" t="s">
        <v>545</v>
      </c>
      <c r="C190" s="282">
        <v>0</v>
      </c>
      <c r="D190" s="282">
        <v>0</v>
      </c>
      <c r="E190" s="285"/>
      <c r="F190" s="284">
        <f t="shared" si="15"/>
        <v>0</v>
      </c>
      <c r="H190" s="302" t="s">
        <v>164</v>
      </c>
      <c r="I190" s="341"/>
      <c r="J190" s="342"/>
      <c r="K190" s="305"/>
      <c r="L190" s="305"/>
      <c r="M190" s="283"/>
      <c r="N190" s="283"/>
    </row>
    <row r="191" spans="1:14" x14ac:dyDescent="0.25">
      <c r="A191" s="314">
        <v>520090009</v>
      </c>
      <c r="B191" s="306" t="s">
        <v>545</v>
      </c>
      <c r="C191" s="282">
        <v>14346.41</v>
      </c>
      <c r="D191" s="282">
        <v>0</v>
      </c>
      <c r="E191" s="285"/>
      <c r="F191" s="307">
        <f t="shared" si="15"/>
        <v>14346.41</v>
      </c>
      <c r="H191" s="302" t="s">
        <v>164</v>
      </c>
      <c r="I191" s="341"/>
      <c r="J191" s="342"/>
      <c r="K191" s="305"/>
      <c r="L191" s="305"/>
      <c r="M191" s="283"/>
      <c r="N191" s="283"/>
    </row>
    <row r="192" spans="1:14" x14ac:dyDescent="0.25">
      <c r="A192" s="314">
        <v>520090100</v>
      </c>
      <c r="B192" s="306" t="s">
        <v>545</v>
      </c>
      <c r="C192" s="282">
        <v>10366.99</v>
      </c>
      <c r="D192" s="282">
        <v>0</v>
      </c>
      <c r="E192" s="285"/>
      <c r="F192" s="284">
        <f t="shared" si="15"/>
        <v>10366.99</v>
      </c>
      <c r="H192" s="302" t="s">
        <v>164</v>
      </c>
      <c r="I192" s="341"/>
      <c r="J192" s="342"/>
      <c r="K192" s="305"/>
      <c r="L192" s="305"/>
      <c r="M192" s="283"/>
      <c r="N192" s="283"/>
    </row>
    <row r="193" spans="1:14" x14ac:dyDescent="0.25">
      <c r="A193" s="314">
        <v>520090101</v>
      </c>
      <c r="B193" s="306" t="s">
        <v>545</v>
      </c>
      <c r="C193" s="282">
        <v>0</v>
      </c>
      <c r="D193" s="282">
        <v>0</v>
      </c>
      <c r="E193" s="285"/>
      <c r="F193" s="284">
        <f t="shared" si="15"/>
        <v>0</v>
      </c>
      <c r="H193" s="302" t="s">
        <v>164</v>
      </c>
      <c r="I193" s="341"/>
      <c r="J193" s="342"/>
      <c r="K193" s="305"/>
      <c r="L193" s="305"/>
      <c r="M193" s="283"/>
      <c r="N193" s="283"/>
    </row>
    <row r="194" spans="1:14" x14ac:dyDescent="0.25">
      <c r="A194" s="314">
        <v>520090102</v>
      </c>
      <c r="B194" s="306" t="s">
        <v>545</v>
      </c>
      <c r="C194" s="282">
        <v>9682.43</v>
      </c>
      <c r="D194" s="282">
        <v>0</v>
      </c>
      <c r="E194" s="285"/>
      <c r="F194" s="284">
        <f t="shared" si="15"/>
        <v>9682.43</v>
      </c>
      <c r="H194" s="302" t="s">
        <v>164</v>
      </c>
      <c r="I194" s="341"/>
      <c r="J194" s="342"/>
      <c r="K194" s="305"/>
      <c r="L194" s="305"/>
      <c r="M194" s="283"/>
      <c r="N194" s="283"/>
    </row>
    <row r="195" spans="1:14" x14ac:dyDescent="0.25">
      <c r="A195" s="314">
        <v>520090103</v>
      </c>
      <c r="B195" s="306" t="s">
        <v>545</v>
      </c>
      <c r="C195" s="282">
        <v>0</v>
      </c>
      <c r="D195" s="282">
        <v>0</v>
      </c>
      <c r="E195" s="285"/>
      <c r="F195" s="284">
        <f t="shared" si="15"/>
        <v>0</v>
      </c>
      <c r="H195" s="302" t="s">
        <v>164</v>
      </c>
      <c r="I195" s="341"/>
      <c r="J195" s="342"/>
      <c r="K195" s="305"/>
      <c r="L195" s="305"/>
      <c r="M195" s="283"/>
      <c r="N195" s="283"/>
    </row>
    <row r="196" spans="1:14" x14ac:dyDescent="0.25">
      <c r="A196" s="314">
        <v>520090104</v>
      </c>
      <c r="B196" s="306" t="s">
        <v>545</v>
      </c>
      <c r="C196" s="282">
        <v>9170.7900000000009</v>
      </c>
      <c r="D196" s="282">
        <v>0</v>
      </c>
      <c r="E196" s="285"/>
      <c r="F196" s="284">
        <f t="shared" ref="F196:F222" si="22">C196-D196+E196</f>
        <v>9170.7900000000009</v>
      </c>
      <c r="H196" s="302" t="s">
        <v>164</v>
      </c>
      <c r="I196" s="341"/>
      <c r="J196" s="342"/>
      <c r="K196" s="305"/>
      <c r="L196" s="305"/>
      <c r="M196" s="283"/>
      <c r="N196" s="283"/>
    </row>
    <row r="197" spans="1:14" x14ac:dyDescent="0.25">
      <c r="A197" s="314">
        <v>520090105</v>
      </c>
      <c r="B197" s="306" t="s">
        <v>545</v>
      </c>
      <c r="C197" s="282">
        <v>0</v>
      </c>
      <c r="D197" s="282">
        <v>0</v>
      </c>
      <c r="E197" s="285"/>
      <c r="F197" s="284">
        <f t="shared" si="22"/>
        <v>0</v>
      </c>
      <c r="H197" s="302" t="s">
        <v>164</v>
      </c>
      <c r="I197" s="341"/>
      <c r="J197" s="342"/>
      <c r="K197" s="305"/>
      <c r="L197" s="305"/>
      <c r="M197" s="283"/>
      <c r="N197" s="283"/>
    </row>
    <row r="198" spans="1:14" x14ac:dyDescent="0.25">
      <c r="A198" s="314">
        <v>520090106</v>
      </c>
      <c r="B198" s="306" t="s">
        <v>545</v>
      </c>
      <c r="C198" s="282">
        <v>0</v>
      </c>
      <c r="D198" s="282">
        <v>0</v>
      </c>
      <c r="E198" s="285"/>
      <c r="F198" s="284">
        <f t="shared" si="22"/>
        <v>0</v>
      </c>
      <c r="H198" s="302" t="s">
        <v>164</v>
      </c>
      <c r="I198" s="341"/>
      <c r="J198" s="342"/>
      <c r="K198" s="305"/>
      <c r="L198" s="305"/>
      <c r="M198" s="283"/>
      <c r="N198" s="283"/>
    </row>
    <row r="199" spans="1:14" x14ac:dyDescent="0.25">
      <c r="A199" s="314">
        <v>520090107</v>
      </c>
      <c r="B199" s="306" t="s">
        <v>545</v>
      </c>
      <c r="C199" s="282">
        <v>0</v>
      </c>
      <c r="D199" s="282">
        <v>0</v>
      </c>
      <c r="E199" s="285"/>
      <c r="F199" s="284">
        <f t="shared" si="22"/>
        <v>0</v>
      </c>
      <c r="H199" s="302" t="s">
        <v>164</v>
      </c>
      <c r="I199" s="341"/>
      <c r="J199" s="342"/>
      <c r="K199" s="305"/>
      <c r="L199" s="305"/>
      <c r="M199" s="283"/>
      <c r="N199" s="283"/>
    </row>
    <row r="200" spans="1:14" x14ac:dyDescent="0.25">
      <c r="A200" s="314">
        <v>520090108</v>
      </c>
      <c r="B200" s="306" t="s">
        <v>545</v>
      </c>
      <c r="C200" s="282">
        <v>0</v>
      </c>
      <c r="D200" s="282">
        <v>0</v>
      </c>
      <c r="E200" s="285"/>
      <c r="F200" s="284">
        <f t="shared" si="22"/>
        <v>0</v>
      </c>
      <c r="H200" s="302" t="s">
        <v>164</v>
      </c>
      <c r="I200" s="341"/>
      <c r="J200" s="342"/>
      <c r="K200" s="305"/>
      <c r="L200" s="305"/>
      <c r="M200" s="283"/>
      <c r="N200" s="283"/>
    </row>
    <row r="201" spans="1:14" x14ac:dyDescent="0.25">
      <c r="A201" s="314">
        <v>520090109</v>
      </c>
      <c r="B201" s="306" t="s">
        <v>545</v>
      </c>
      <c r="C201" s="282">
        <v>0</v>
      </c>
      <c r="D201" s="282">
        <v>0</v>
      </c>
      <c r="E201" s="285"/>
      <c r="F201" s="284">
        <f t="shared" si="22"/>
        <v>0</v>
      </c>
      <c r="H201" s="302" t="s">
        <v>164</v>
      </c>
      <c r="I201" s="341"/>
      <c r="J201" s="342"/>
      <c r="K201" s="305"/>
      <c r="L201" s="305"/>
      <c r="M201" s="283"/>
      <c r="N201" s="283"/>
    </row>
    <row r="202" spans="1:14" x14ac:dyDescent="0.25">
      <c r="A202" s="314">
        <v>520090110</v>
      </c>
      <c r="B202" s="306" t="s">
        <v>545</v>
      </c>
      <c r="C202" s="282">
        <v>0</v>
      </c>
      <c r="D202" s="282">
        <v>0</v>
      </c>
      <c r="E202" s="285"/>
      <c r="F202" s="284">
        <f t="shared" si="22"/>
        <v>0</v>
      </c>
      <c r="H202" s="302" t="s">
        <v>164</v>
      </c>
      <c r="I202" s="341"/>
      <c r="J202" s="342"/>
      <c r="K202" s="305"/>
      <c r="L202" s="305"/>
      <c r="M202" s="283"/>
      <c r="N202" s="283"/>
    </row>
    <row r="203" spans="1:14" x14ac:dyDescent="0.25">
      <c r="A203" s="314">
        <v>520090150</v>
      </c>
      <c r="B203" s="306" t="s">
        <v>545</v>
      </c>
      <c r="C203" s="282">
        <v>0</v>
      </c>
      <c r="D203" s="282">
        <v>0</v>
      </c>
      <c r="E203" s="285"/>
      <c r="F203" s="284">
        <f t="shared" si="22"/>
        <v>0</v>
      </c>
      <c r="H203" s="302" t="s">
        <v>164</v>
      </c>
      <c r="I203" s="341"/>
      <c r="J203" s="342"/>
      <c r="K203" s="305"/>
      <c r="L203" s="305"/>
      <c r="M203" s="283"/>
      <c r="N203" s="283"/>
    </row>
    <row r="204" spans="1:14" x14ac:dyDescent="0.25">
      <c r="A204" s="314">
        <v>520090200</v>
      </c>
      <c r="B204" s="306" t="s">
        <v>545</v>
      </c>
      <c r="C204" s="282">
        <v>0</v>
      </c>
      <c r="D204" s="282">
        <v>0</v>
      </c>
      <c r="E204" s="285"/>
      <c r="F204" s="284">
        <f t="shared" si="22"/>
        <v>0</v>
      </c>
      <c r="H204" s="302" t="s">
        <v>164</v>
      </c>
      <c r="I204" s="341"/>
      <c r="J204" s="342"/>
      <c r="K204" s="305"/>
      <c r="L204" s="305"/>
      <c r="M204" s="283"/>
      <c r="N204" s="283"/>
    </row>
    <row r="205" spans="1:14" x14ac:dyDescent="0.25">
      <c r="A205" s="314">
        <v>520090201</v>
      </c>
      <c r="B205" s="306" t="s">
        <v>545</v>
      </c>
      <c r="C205" s="282">
        <v>0</v>
      </c>
      <c r="D205" s="282">
        <v>0</v>
      </c>
      <c r="E205" s="285"/>
      <c r="F205" s="284">
        <f t="shared" si="22"/>
        <v>0</v>
      </c>
      <c r="H205" s="302" t="s">
        <v>164</v>
      </c>
      <c r="I205" s="341"/>
      <c r="J205" s="342"/>
      <c r="K205" s="305"/>
      <c r="L205" s="305"/>
      <c r="M205" s="283"/>
      <c r="N205" s="283"/>
    </row>
    <row r="206" spans="1:14" x14ac:dyDescent="0.25">
      <c r="A206" s="314">
        <v>520090202</v>
      </c>
      <c r="B206" s="306" t="s">
        <v>545</v>
      </c>
      <c r="C206" s="282">
        <v>4937.92</v>
      </c>
      <c r="D206" s="282">
        <v>0</v>
      </c>
      <c r="E206" s="285"/>
      <c r="F206" s="284">
        <f t="shared" si="22"/>
        <v>4937.92</v>
      </c>
      <c r="H206" s="302" t="s">
        <v>164</v>
      </c>
      <c r="I206" s="341"/>
      <c r="J206" s="342"/>
      <c r="K206" s="305"/>
      <c r="L206" s="305"/>
      <c r="M206" s="283"/>
      <c r="N206" s="283"/>
    </row>
    <row r="207" spans="1:14" x14ac:dyDescent="0.25">
      <c r="A207" s="314">
        <v>520090203</v>
      </c>
      <c r="B207" s="306" t="s">
        <v>545</v>
      </c>
      <c r="C207" s="282">
        <v>0</v>
      </c>
      <c r="D207" s="282">
        <v>0</v>
      </c>
      <c r="E207" s="285"/>
      <c r="F207" s="284">
        <f t="shared" si="22"/>
        <v>0</v>
      </c>
      <c r="H207" s="302" t="s">
        <v>164</v>
      </c>
      <c r="I207" s="341"/>
      <c r="J207" s="342"/>
      <c r="K207" s="305"/>
      <c r="L207" s="305"/>
      <c r="M207" s="283"/>
      <c r="N207" s="283"/>
    </row>
    <row r="208" spans="1:14" x14ac:dyDescent="0.25">
      <c r="A208" s="314">
        <v>520090204</v>
      </c>
      <c r="B208" s="306" t="s">
        <v>545</v>
      </c>
      <c r="C208" s="282">
        <v>0</v>
      </c>
      <c r="D208" s="282">
        <v>0</v>
      </c>
      <c r="E208" s="285"/>
      <c r="F208" s="284">
        <f t="shared" si="22"/>
        <v>0</v>
      </c>
      <c r="H208" s="302" t="s">
        <v>164</v>
      </c>
      <c r="I208" s="341"/>
      <c r="J208" s="342"/>
      <c r="K208" s="305"/>
      <c r="L208" s="305"/>
      <c r="M208" s="283"/>
      <c r="N208" s="283"/>
    </row>
    <row r="209" spans="1:14" x14ac:dyDescent="0.25">
      <c r="A209" s="314">
        <v>520090205</v>
      </c>
      <c r="B209" s="306" t="s">
        <v>545</v>
      </c>
      <c r="C209" s="282">
        <v>0</v>
      </c>
      <c r="D209" s="282">
        <v>0</v>
      </c>
      <c r="E209" s="285"/>
      <c r="F209" s="284">
        <f t="shared" si="22"/>
        <v>0</v>
      </c>
      <c r="H209" s="302" t="s">
        <v>164</v>
      </c>
      <c r="I209" s="341"/>
      <c r="J209" s="342"/>
      <c r="K209" s="305"/>
      <c r="L209" s="305"/>
      <c r="M209" s="283"/>
      <c r="N209" s="283"/>
    </row>
    <row r="210" spans="1:14" x14ac:dyDescent="0.25">
      <c r="A210" s="314">
        <v>520090206</v>
      </c>
      <c r="B210" s="306" t="s">
        <v>545</v>
      </c>
      <c r="C210" s="282">
        <v>0</v>
      </c>
      <c r="D210" s="282">
        <v>0</v>
      </c>
      <c r="E210" s="285"/>
      <c r="F210" s="284">
        <f t="shared" si="22"/>
        <v>0</v>
      </c>
      <c r="H210" s="302" t="s">
        <v>164</v>
      </c>
      <c r="I210" s="341"/>
      <c r="J210" s="342"/>
      <c r="K210" s="305"/>
      <c r="L210" s="305"/>
      <c r="M210" s="283"/>
      <c r="N210" s="283"/>
    </row>
    <row r="211" spans="1:14" x14ac:dyDescent="0.25">
      <c r="A211" s="314">
        <v>520090300</v>
      </c>
      <c r="B211" s="306" t="s">
        <v>545</v>
      </c>
      <c r="C211" s="282">
        <v>4056</v>
      </c>
      <c r="D211" s="282">
        <v>0</v>
      </c>
      <c r="E211" s="285"/>
      <c r="F211" s="284">
        <f t="shared" si="22"/>
        <v>4056</v>
      </c>
      <c r="H211" s="302" t="s">
        <v>164</v>
      </c>
      <c r="I211" s="341"/>
      <c r="J211" s="342"/>
      <c r="K211" s="305"/>
      <c r="L211" s="305"/>
      <c r="M211" s="283"/>
      <c r="N211" s="283"/>
    </row>
    <row r="212" spans="1:14" x14ac:dyDescent="0.25">
      <c r="A212" s="314">
        <v>520090301</v>
      </c>
      <c r="B212" s="306" t="s">
        <v>545</v>
      </c>
      <c r="C212" s="282">
        <v>697</v>
      </c>
      <c r="D212" s="282">
        <v>0</v>
      </c>
      <c r="E212" s="285"/>
      <c r="F212" s="284">
        <f t="shared" si="22"/>
        <v>697</v>
      </c>
      <c r="H212" s="302" t="s">
        <v>164</v>
      </c>
      <c r="I212" s="341"/>
      <c r="J212" s="342"/>
      <c r="K212" s="305"/>
      <c r="L212" s="305"/>
      <c r="M212" s="283"/>
      <c r="N212" s="283"/>
    </row>
    <row r="213" spans="1:14" x14ac:dyDescent="0.25">
      <c r="A213" s="314">
        <v>520090302</v>
      </c>
      <c r="B213" s="306" t="s">
        <v>545</v>
      </c>
      <c r="C213" s="282">
        <v>538.86</v>
      </c>
      <c r="D213" s="282">
        <v>0</v>
      </c>
      <c r="E213" s="285"/>
      <c r="F213" s="307">
        <f t="shared" si="22"/>
        <v>538.86</v>
      </c>
      <c r="H213" s="302" t="s">
        <v>164</v>
      </c>
      <c r="I213" s="341"/>
      <c r="J213" s="342"/>
      <c r="K213" s="305"/>
      <c r="L213" s="305"/>
      <c r="M213" s="283"/>
      <c r="N213" s="283"/>
    </row>
    <row r="214" spans="1:14" x14ac:dyDescent="0.25">
      <c r="A214" s="314">
        <v>520090303</v>
      </c>
      <c r="B214" s="306" t="s">
        <v>545</v>
      </c>
      <c r="C214" s="282">
        <v>0</v>
      </c>
      <c r="D214" s="282">
        <v>0</v>
      </c>
      <c r="E214" s="285"/>
      <c r="F214" s="284">
        <f t="shared" ref="F214" si="23">C214-D214+E214</f>
        <v>0</v>
      </c>
      <c r="H214" s="302" t="s">
        <v>164</v>
      </c>
      <c r="I214" s="341"/>
      <c r="J214" s="342"/>
      <c r="K214" s="305"/>
      <c r="L214" s="305"/>
      <c r="M214" s="283"/>
      <c r="N214" s="283"/>
    </row>
    <row r="215" spans="1:14" x14ac:dyDescent="0.25">
      <c r="A215" s="314">
        <v>520090304</v>
      </c>
      <c r="B215" s="306" t="s">
        <v>545</v>
      </c>
      <c r="C215" s="282">
        <v>0</v>
      </c>
      <c r="D215" s="282">
        <v>0</v>
      </c>
      <c r="E215" s="285"/>
      <c r="F215" s="284">
        <f t="shared" si="22"/>
        <v>0</v>
      </c>
      <c r="H215" s="302" t="s">
        <v>164</v>
      </c>
      <c r="I215" s="341"/>
      <c r="J215" s="342"/>
      <c r="K215" s="305"/>
      <c r="L215" s="305"/>
      <c r="M215" s="283"/>
      <c r="N215" s="283"/>
    </row>
    <row r="216" spans="1:14" x14ac:dyDescent="0.25">
      <c r="A216" s="314">
        <v>520090306</v>
      </c>
      <c r="B216" s="306" t="s">
        <v>545</v>
      </c>
      <c r="C216" s="282">
        <v>12322.09</v>
      </c>
      <c r="D216" s="282">
        <v>0</v>
      </c>
      <c r="E216" s="285"/>
      <c r="F216" s="284">
        <f t="shared" si="22"/>
        <v>12322.09</v>
      </c>
      <c r="H216" s="302" t="s">
        <v>164</v>
      </c>
      <c r="I216" s="341"/>
      <c r="J216" s="342"/>
      <c r="K216" s="305"/>
      <c r="L216" s="305"/>
      <c r="M216" s="283"/>
      <c r="N216" s="283"/>
    </row>
    <row r="217" spans="1:14" x14ac:dyDescent="0.25">
      <c r="A217" s="314">
        <v>520090350</v>
      </c>
      <c r="B217" s="306" t="s">
        <v>545</v>
      </c>
      <c r="C217" s="282">
        <v>1097</v>
      </c>
      <c r="D217" s="282">
        <v>0</v>
      </c>
      <c r="E217" s="285"/>
      <c r="F217" s="284">
        <f t="shared" si="22"/>
        <v>1097</v>
      </c>
      <c r="H217" s="302" t="s">
        <v>164</v>
      </c>
      <c r="I217" s="341"/>
      <c r="J217" s="342"/>
      <c r="K217" s="305"/>
      <c r="L217" s="305"/>
      <c r="M217" s="283"/>
      <c r="N217" s="283"/>
    </row>
    <row r="218" spans="1:14" x14ac:dyDescent="0.25">
      <c r="A218" s="314">
        <v>520090400</v>
      </c>
      <c r="B218" s="306" t="s">
        <v>545</v>
      </c>
      <c r="C218" s="282">
        <v>6098.68</v>
      </c>
      <c r="D218" s="282">
        <v>0</v>
      </c>
      <c r="E218" s="285"/>
      <c r="F218" s="284">
        <f t="shared" si="22"/>
        <v>6098.68</v>
      </c>
      <c r="H218" s="302" t="s">
        <v>164</v>
      </c>
      <c r="I218" s="341"/>
      <c r="J218" s="342"/>
      <c r="K218" s="305"/>
      <c r="L218" s="305"/>
      <c r="M218" s="283"/>
      <c r="N218" s="283"/>
    </row>
    <row r="219" spans="1:14" x14ac:dyDescent="0.25">
      <c r="A219" s="314">
        <v>520090401</v>
      </c>
      <c r="B219" s="306" t="s">
        <v>545</v>
      </c>
      <c r="C219" s="282">
        <v>0</v>
      </c>
      <c r="D219" s="282">
        <v>0</v>
      </c>
      <c r="E219" s="285"/>
      <c r="F219" s="284">
        <f t="shared" si="22"/>
        <v>0</v>
      </c>
      <c r="H219" s="302" t="s">
        <v>164</v>
      </c>
      <c r="I219" s="341"/>
      <c r="J219" s="342"/>
      <c r="K219" s="305"/>
      <c r="L219" s="305"/>
      <c r="M219" s="283"/>
      <c r="N219" s="283"/>
    </row>
    <row r="220" spans="1:14" x14ac:dyDescent="0.25">
      <c r="A220" s="314">
        <v>520090402</v>
      </c>
      <c r="B220" s="306" t="s">
        <v>545</v>
      </c>
      <c r="C220" s="282">
        <v>227.08</v>
      </c>
      <c r="D220" s="282">
        <v>0</v>
      </c>
      <c r="E220" s="285"/>
      <c r="F220" s="284">
        <f t="shared" si="22"/>
        <v>227.08</v>
      </c>
      <c r="H220" s="302" t="s">
        <v>164</v>
      </c>
      <c r="I220" s="341"/>
      <c r="J220" s="342"/>
      <c r="K220" s="305"/>
      <c r="L220" s="305"/>
      <c r="M220" s="283"/>
      <c r="N220" s="283"/>
    </row>
    <row r="221" spans="1:14" x14ac:dyDescent="0.25">
      <c r="A221" s="314">
        <v>520090403</v>
      </c>
      <c r="B221" s="306" t="s">
        <v>545</v>
      </c>
      <c r="C221" s="282">
        <v>0</v>
      </c>
      <c r="D221" s="282">
        <v>0</v>
      </c>
      <c r="E221" s="285"/>
      <c r="F221" s="284">
        <f t="shared" si="22"/>
        <v>0</v>
      </c>
      <c r="H221" s="302" t="s">
        <v>164</v>
      </c>
      <c r="I221" s="341"/>
      <c r="J221" s="342"/>
      <c r="K221" s="305"/>
      <c r="L221" s="305"/>
      <c r="M221" s="283"/>
      <c r="N221" s="283"/>
    </row>
    <row r="222" spans="1:14" x14ac:dyDescent="0.25">
      <c r="A222" s="314">
        <v>520090404</v>
      </c>
      <c r="B222" s="306" t="s">
        <v>545</v>
      </c>
      <c r="C222" s="282">
        <v>6896.29</v>
      </c>
      <c r="D222" s="282">
        <v>0</v>
      </c>
      <c r="E222" s="285"/>
      <c r="F222" s="284">
        <f t="shared" si="22"/>
        <v>6896.29</v>
      </c>
      <c r="H222" s="302" t="s">
        <v>164</v>
      </c>
      <c r="I222" s="341"/>
      <c r="J222" s="342"/>
      <c r="K222" s="305"/>
      <c r="L222" s="305"/>
      <c r="M222" s="283"/>
      <c r="N222" s="283"/>
    </row>
    <row r="223" spans="1:14" x14ac:dyDescent="0.25">
      <c r="A223" s="314">
        <v>520690000</v>
      </c>
      <c r="B223" s="308" t="s">
        <v>601</v>
      </c>
      <c r="C223" s="309">
        <v>670</v>
      </c>
      <c r="D223" s="282">
        <v>0</v>
      </c>
      <c r="E223" s="285"/>
      <c r="F223" s="284">
        <f t="shared" ref="F223" si="24">C223-D223+E223</f>
        <v>670</v>
      </c>
      <c r="H223" s="302" t="s">
        <v>164</v>
      </c>
      <c r="I223" s="341"/>
      <c r="J223" s="342"/>
      <c r="K223" s="305"/>
      <c r="L223" s="305"/>
      <c r="M223" s="283"/>
      <c r="N223" s="283"/>
    </row>
    <row r="224" spans="1:14" x14ac:dyDescent="0.25">
      <c r="A224" s="314">
        <v>520690009</v>
      </c>
      <c r="B224" s="308" t="s">
        <v>679</v>
      </c>
      <c r="C224" s="309">
        <v>900</v>
      </c>
      <c r="D224" s="282">
        <v>0</v>
      </c>
      <c r="E224" s="285"/>
      <c r="F224" s="284">
        <f t="shared" ref="F224" si="25">C224-D224+E224</f>
        <v>900</v>
      </c>
      <c r="H224" s="302" t="s">
        <v>164</v>
      </c>
      <c r="I224" s="341"/>
      <c r="J224" s="342"/>
      <c r="K224" s="305"/>
      <c r="L224" s="305"/>
      <c r="M224" s="283"/>
      <c r="N224" s="283"/>
    </row>
    <row r="225" spans="1:8" x14ac:dyDescent="0.25">
      <c r="A225" s="314">
        <v>520990000</v>
      </c>
      <c r="B225" s="306" t="s">
        <v>426</v>
      </c>
      <c r="C225" s="282">
        <v>0</v>
      </c>
      <c r="D225" s="282">
        <v>7343</v>
      </c>
      <c r="E225" s="285"/>
      <c r="F225" s="284">
        <f t="shared" ref="F225:F284" si="26">C225-D225+E225</f>
        <v>-7343</v>
      </c>
      <c r="H225" s="302" t="s">
        <v>164</v>
      </c>
    </row>
    <row r="226" spans="1:8" x14ac:dyDescent="0.25">
      <c r="A226" s="314">
        <v>520990001</v>
      </c>
      <c r="B226" s="306" t="s">
        <v>427</v>
      </c>
      <c r="C226" s="282">
        <v>0</v>
      </c>
      <c r="D226" s="282">
        <v>12170</v>
      </c>
      <c r="E226" s="285"/>
      <c r="F226" s="284">
        <f t="shared" si="26"/>
        <v>-12170</v>
      </c>
      <c r="H226" s="302" t="s">
        <v>164</v>
      </c>
    </row>
    <row r="227" spans="1:8" x14ac:dyDescent="0.25">
      <c r="A227" s="314">
        <v>520990002</v>
      </c>
      <c r="B227" s="306" t="s">
        <v>77</v>
      </c>
      <c r="C227" s="282">
        <v>0</v>
      </c>
      <c r="D227" s="282">
        <v>0</v>
      </c>
      <c r="E227" s="285"/>
      <c r="F227" s="284">
        <f t="shared" si="26"/>
        <v>0</v>
      </c>
      <c r="H227" s="302" t="s">
        <v>164</v>
      </c>
    </row>
    <row r="228" spans="1:8" x14ac:dyDescent="0.25">
      <c r="A228" s="314">
        <v>520990003</v>
      </c>
      <c r="B228" s="306" t="s">
        <v>452</v>
      </c>
      <c r="C228" s="282">
        <v>0</v>
      </c>
      <c r="D228" s="282">
        <v>0</v>
      </c>
      <c r="E228" s="285"/>
      <c r="F228" s="284">
        <f t="shared" si="26"/>
        <v>0</v>
      </c>
      <c r="H228" s="302" t="s">
        <v>164</v>
      </c>
    </row>
    <row r="229" spans="1:8" x14ac:dyDescent="0.25">
      <c r="A229" s="314">
        <v>520990005</v>
      </c>
      <c r="B229" s="306" t="s">
        <v>101</v>
      </c>
      <c r="C229" s="282">
        <v>0</v>
      </c>
      <c r="D229" s="282">
        <v>0</v>
      </c>
      <c r="E229" s="285"/>
      <c r="F229" s="284">
        <f t="shared" si="26"/>
        <v>0</v>
      </c>
      <c r="H229" s="302" t="s">
        <v>164</v>
      </c>
    </row>
    <row r="230" spans="1:8" x14ac:dyDescent="0.25">
      <c r="A230" s="314">
        <v>520990006</v>
      </c>
      <c r="B230" s="306" t="s">
        <v>401</v>
      </c>
      <c r="C230" s="282">
        <v>0</v>
      </c>
      <c r="D230" s="282">
        <v>0</v>
      </c>
      <c r="E230" s="285"/>
      <c r="F230" s="284">
        <f t="shared" si="26"/>
        <v>0</v>
      </c>
      <c r="H230" s="302" t="s">
        <v>164</v>
      </c>
    </row>
    <row r="231" spans="1:8" x14ac:dyDescent="0.25">
      <c r="A231" s="314">
        <v>520990007</v>
      </c>
      <c r="B231" s="306" t="s">
        <v>52</v>
      </c>
      <c r="C231" s="282">
        <v>0</v>
      </c>
      <c r="D231" s="282">
        <v>0</v>
      </c>
      <c r="E231" s="285"/>
      <c r="F231" s="284">
        <f t="shared" si="26"/>
        <v>0</v>
      </c>
      <c r="H231" s="302" t="s">
        <v>164</v>
      </c>
    </row>
    <row r="232" spans="1:8" x14ac:dyDescent="0.25">
      <c r="A232" s="314">
        <v>520990008</v>
      </c>
      <c r="B232" s="306" t="s">
        <v>585</v>
      </c>
      <c r="C232" s="282">
        <v>0</v>
      </c>
      <c r="D232" s="282">
        <v>0</v>
      </c>
      <c r="E232" s="285"/>
      <c r="F232" s="284">
        <f t="shared" ref="F232" si="27">C232-D232+E232</f>
        <v>0</v>
      </c>
      <c r="H232" s="302" t="s">
        <v>164</v>
      </c>
    </row>
    <row r="233" spans="1:8" x14ac:dyDescent="0.25">
      <c r="A233" s="314">
        <v>520990009</v>
      </c>
      <c r="B233" s="306" t="s">
        <v>534</v>
      </c>
      <c r="C233" s="282">
        <v>0</v>
      </c>
      <c r="D233" s="310">
        <v>0</v>
      </c>
      <c r="E233" s="285"/>
      <c r="F233" s="284">
        <f t="shared" si="26"/>
        <v>0</v>
      </c>
      <c r="H233" s="302" t="s">
        <v>164</v>
      </c>
    </row>
    <row r="234" spans="1:8" x14ac:dyDescent="0.25">
      <c r="A234" s="314">
        <v>520990010</v>
      </c>
      <c r="B234" s="306" t="s">
        <v>641</v>
      </c>
      <c r="C234" s="282">
        <v>0</v>
      </c>
      <c r="D234" s="282">
        <v>5300</v>
      </c>
      <c r="E234" s="285"/>
      <c r="F234" s="284">
        <f t="shared" ref="F234" si="28">C234-D234+E234</f>
        <v>-5300</v>
      </c>
      <c r="H234" s="302" t="s">
        <v>164</v>
      </c>
    </row>
    <row r="235" spans="1:8" x14ac:dyDescent="0.25">
      <c r="A235" s="314">
        <v>520990100</v>
      </c>
      <c r="B235" s="306" t="s">
        <v>360</v>
      </c>
      <c r="C235" s="282">
        <v>0</v>
      </c>
      <c r="D235" s="282">
        <v>598.26</v>
      </c>
      <c r="E235" s="285"/>
      <c r="F235" s="284">
        <f t="shared" si="26"/>
        <v>-598.26</v>
      </c>
      <c r="H235" s="302" t="s">
        <v>164</v>
      </c>
    </row>
    <row r="236" spans="1:8" x14ac:dyDescent="0.25">
      <c r="A236" s="314">
        <v>520990101</v>
      </c>
      <c r="B236" s="306" t="s">
        <v>433</v>
      </c>
      <c r="C236" s="282">
        <v>0</v>
      </c>
      <c r="D236" s="282">
        <v>0</v>
      </c>
      <c r="E236" s="285"/>
      <c r="F236" s="284">
        <f t="shared" si="26"/>
        <v>0</v>
      </c>
      <c r="H236" s="302" t="s">
        <v>164</v>
      </c>
    </row>
    <row r="237" spans="1:8" x14ac:dyDescent="0.25">
      <c r="A237" s="314">
        <v>520990102</v>
      </c>
      <c r="B237" s="306" t="s">
        <v>642</v>
      </c>
      <c r="C237" s="282">
        <v>0</v>
      </c>
      <c r="D237" s="282">
        <v>85</v>
      </c>
      <c r="E237" s="285"/>
      <c r="F237" s="284">
        <f t="shared" si="26"/>
        <v>-85</v>
      </c>
      <c r="H237" s="302" t="s">
        <v>164</v>
      </c>
    </row>
    <row r="238" spans="1:8" x14ac:dyDescent="0.25">
      <c r="A238" s="314">
        <v>520990105</v>
      </c>
      <c r="B238" s="306" t="s">
        <v>445</v>
      </c>
      <c r="C238" s="282">
        <v>0</v>
      </c>
      <c r="D238" s="282">
        <v>0</v>
      </c>
      <c r="E238" s="285"/>
      <c r="F238" s="284">
        <f t="shared" ref="F238" si="29">C238-D238+E238</f>
        <v>0</v>
      </c>
      <c r="H238" s="302" t="s">
        <v>164</v>
      </c>
    </row>
    <row r="239" spans="1:8" x14ac:dyDescent="0.25">
      <c r="A239" s="314">
        <v>520990106</v>
      </c>
      <c r="B239" s="306" t="s">
        <v>593</v>
      </c>
      <c r="C239" s="282">
        <v>0</v>
      </c>
      <c r="D239" s="282">
        <v>0</v>
      </c>
      <c r="E239" s="285"/>
      <c r="F239" s="284">
        <f t="shared" ref="F239" si="30">C239-D239+E239</f>
        <v>0</v>
      </c>
      <c r="H239" s="302" t="s">
        <v>164</v>
      </c>
    </row>
    <row r="240" spans="1:8" x14ac:dyDescent="0.25">
      <c r="A240" s="314">
        <v>520990108</v>
      </c>
      <c r="B240" s="306" t="s">
        <v>598</v>
      </c>
      <c r="C240" s="282">
        <v>0</v>
      </c>
      <c r="D240" s="282">
        <v>0</v>
      </c>
      <c r="E240" s="285"/>
      <c r="F240" s="284">
        <f t="shared" ref="F240" si="31">C240-D240+E240</f>
        <v>0</v>
      </c>
      <c r="H240" s="302" t="s">
        <v>164</v>
      </c>
    </row>
    <row r="241" spans="1:8" x14ac:dyDescent="0.25">
      <c r="A241" s="314">
        <v>520990110</v>
      </c>
      <c r="B241" s="306" t="s">
        <v>594</v>
      </c>
      <c r="C241" s="282">
        <v>0</v>
      </c>
      <c r="D241" s="282">
        <v>0</v>
      </c>
      <c r="E241" s="285"/>
      <c r="F241" s="284">
        <f t="shared" ref="F241" si="32">C241-D241+E241</f>
        <v>0</v>
      </c>
      <c r="H241" s="302" t="s">
        <v>164</v>
      </c>
    </row>
    <row r="242" spans="1:8" x14ac:dyDescent="0.25">
      <c r="A242" s="314">
        <v>520990150</v>
      </c>
      <c r="B242" s="306" t="s">
        <v>73</v>
      </c>
      <c r="C242" s="282">
        <v>0</v>
      </c>
      <c r="D242" s="282">
        <v>0</v>
      </c>
      <c r="E242" s="285"/>
      <c r="F242" s="284">
        <f t="shared" si="26"/>
        <v>0</v>
      </c>
      <c r="H242" s="302" t="s">
        <v>164</v>
      </c>
    </row>
    <row r="243" spans="1:8" x14ac:dyDescent="0.25">
      <c r="A243" s="314">
        <v>520990200</v>
      </c>
      <c r="B243" s="306" t="s">
        <v>349</v>
      </c>
      <c r="C243" s="282">
        <v>0</v>
      </c>
      <c r="D243" s="282">
        <v>0</v>
      </c>
      <c r="E243" s="285"/>
      <c r="F243" s="284">
        <f t="shared" si="26"/>
        <v>0</v>
      </c>
      <c r="H243" s="302" t="s">
        <v>164</v>
      </c>
    </row>
    <row r="244" spans="1:8" x14ac:dyDescent="0.25">
      <c r="A244" s="314">
        <v>520990201</v>
      </c>
      <c r="B244" s="306" t="s">
        <v>434</v>
      </c>
      <c r="C244" s="282">
        <v>0</v>
      </c>
      <c r="D244" s="282">
        <v>0</v>
      </c>
      <c r="E244" s="285"/>
      <c r="F244" s="284">
        <f t="shared" si="26"/>
        <v>0</v>
      </c>
      <c r="H244" s="302" t="s">
        <v>164</v>
      </c>
    </row>
    <row r="245" spans="1:8" x14ac:dyDescent="0.25">
      <c r="A245" s="314">
        <v>520990202</v>
      </c>
      <c r="B245" s="306" t="s">
        <v>595</v>
      </c>
      <c r="C245" s="282">
        <v>0</v>
      </c>
      <c r="D245" s="282">
        <v>0</v>
      </c>
      <c r="E245" s="285"/>
      <c r="F245" s="284">
        <f t="shared" ref="F245" si="33">C245-D245+E245</f>
        <v>0</v>
      </c>
      <c r="H245" s="302" t="s">
        <v>164</v>
      </c>
    </row>
    <row r="246" spans="1:8" x14ac:dyDescent="0.25">
      <c r="A246" s="314">
        <v>520990203</v>
      </c>
      <c r="B246" s="306" t="s">
        <v>361</v>
      </c>
      <c r="C246" s="282">
        <v>0</v>
      </c>
      <c r="D246" s="282">
        <v>0</v>
      </c>
      <c r="E246" s="285"/>
      <c r="F246" s="284">
        <f t="shared" si="26"/>
        <v>0</v>
      </c>
      <c r="H246" s="302" t="s">
        <v>164</v>
      </c>
    </row>
    <row r="247" spans="1:8" x14ac:dyDescent="0.25">
      <c r="A247" s="314">
        <v>520990302</v>
      </c>
      <c r="B247" s="306" t="s">
        <v>435</v>
      </c>
      <c r="C247" s="282">
        <v>0</v>
      </c>
      <c r="D247" s="310">
        <v>0</v>
      </c>
      <c r="E247" s="285"/>
      <c r="F247" s="284">
        <f t="shared" ref="F247" si="34">C247-D247+E247</f>
        <v>0</v>
      </c>
      <c r="H247" s="302" t="s">
        <v>164</v>
      </c>
    </row>
    <row r="248" spans="1:8" x14ac:dyDescent="0.25">
      <c r="A248" s="314">
        <v>520990306</v>
      </c>
      <c r="B248" s="306" t="s">
        <v>447</v>
      </c>
      <c r="C248" s="282">
        <v>0</v>
      </c>
      <c r="D248" s="310">
        <v>3500</v>
      </c>
      <c r="E248" s="285"/>
      <c r="F248" s="284">
        <f>C248-D248+E248</f>
        <v>-3500</v>
      </c>
      <c r="H248" s="302" t="s">
        <v>164</v>
      </c>
    </row>
    <row r="249" spans="1:8" x14ac:dyDescent="0.25">
      <c r="A249" s="314">
        <v>520990400</v>
      </c>
      <c r="B249" s="306" t="s">
        <v>102</v>
      </c>
      <c r="C249" s="282">
        <v>0</v>
      </c>
      <c r="D249" s="282">
        <v>0</v>
      </c>
      <c r="E249" s="285"/>
      <c r="F249" s="284">
        <f t="shared" si="26"/>
        <v>0</v>
      </c>
      <c r="H249" s="302" t="s">
        <v>164</v>
      </c>
    </row>
    <row r="250" spans="1:8" x14ac:dyDescent="0.25">
      <c r="A250" s="314">
        <v>520990401</v>
      </c>
      <c r="B250" s="306" t="s">
        <v>334</v>
      </c>
      <c r="C250" s="282">
        <v>0</v>
      </c>
      <c r="D250" s="311">
        <v>0</v>
      </c>
      <c r="E250" s="285"/>
      <c r="F250" s="284">
        <f t="shared" si="26"/>
        <v>0</v>
      </c>
      <c r="H250" s="302" t="s">
        <v>164</v>
      </c>
    </row>
    <row r="251" spans="1:8" x14ac:dyDescent="0.25">
      <c r="A251" s="314">
        <v>520990402</v>
      </c>
      <c r="B251" s="306" t="s">
        <v>353</v>
      </c>
      <c r="C251" s="282">
        <v>0</v>
      </c>
      <c r="D251" s="311">
        <v>0</v>
      </c>
      <c r="E251" s="285"/>
      <c r="F251" s="284">
        <f t="shared" si="26"/>
        <v>0</v>
      </c>
      <c r="H251" s="302" t="s">
        <v>164</v>
      </c>
    </row>
    <row r="252" spans="1:8" x14ac:dyDescent="0.25">
      <c r="A252" s="314">
        <v>520990403</v>
      </c>
      <c r="B252" s="306" t="s">
        <v>105</v>
      </c>
      <c r="C252" s="282">
        <v>0</v>
      </c>
      <c r="D252" s="311">
        <v>0</v>
      </c>
      <c r="E252" s="285"/>
      <c r="F252" s="284">
        <f t="shared" si="26"/>
        <v>0</v>
      </c>
      <c r="H252" s="302" t="s">
        <v>164</v>
      </c>
    </row>
    <row r="253" spans="1:8" x14ac:dyDescent="0.25">
      <c r="A253" s="314">
        <v>520990404</v>
      </c>
      <c r="B253" s="306" t="s">
        <v>351</v>
      </c>
      <c r="C253" s="282">
        <v>0</v>
      </c>
      <c r="D253" s="311">
        <v>0</v>
      </c>
      <c r="E253" s="285"/>
      <c r="F253" s="284">
        <f t="shared" si="26"/>
        <v>0</v>
      </c>
      <c r="H253" s="302" t="s">
        <v>164</v>
      </c>
    </row>
    <row r="254" spans="1:8" x14ac:dyDescent="0.25">
      <c r="A254" s="314">
        <v>520990500</v>
      </c>
      <c r="B254" s="306" t="s">
        <v>5</v>
      </c>
      <c r="C254" s="282">
        <v>0</v>
      </c>
      <c r="D254" s="312">
        <v>850</v>
      </c>
      <c r="E254" s="285"/>
      <c r="F254" s="284">
        <f t="shared" si="26"/>
        <v>-850</v>
      </c>
      <c r="H254" s="302" t="s">
        <v>164</v>
      </c>
    </row>
    <row r="255" spans="1:8" x14ac:dyDescent="0.25">
      <c r="A255" s="314">
        <v>520990501</v>
      </c>
      <c r="B255" s="306" t="s">
        <v>331</v>
      </c>
      <c r="C255" s="282">
        <v>0</v>
      </c>
      <c r="D255" s="282">
        <v>0</v>
      </c>
      <c r="E255" s="285"/>
      <c r="F255" s="284">
        <f t="shared" si="26"/>
        <v>0</v>
      </c>
      <c r="H255" s="302" t="s">
        <v>164</v>
      </c>
    </row>
    <row r="256" spans="1:8" x14ac:dyDescent="0.25">
      <c r="A256" s="314">
        <v>520990502</v>
      </c>
      <c r="B256" s="306" t="s">
        <v>489</v>
      </c>
      <c r="C256" s="282">
        <v>0</v>
      </c>
      <c r="D256" s="312">
        <v>450</v>
      </c>
      <c r="E256" s="285"/>
      <c r="F256" s="284">
        <f t="shared" ref="F256" si="35">C256-D256+E256</f>
        <v>-450</v>
      </c>
      <c r="H256" s="302" t="s">
        <v>164</v>
      </c>
    </row>
    <row r="257" spans="1:8" x14ac:dyDescent="0.25">
      <c r="A257" s="314">
        <v>520990504</v>
      </c>
      <c r="B257" s="306" t="s">
        <v>584</v>
      </c>
      <c r="C257" s="282">
        <v>0</v>
      </c>
      <c r="D257" s="312">
        <v>350</v>
      </c>
      <c r="E257" s="285"/>
      <c r="F257" s="284">
        <f t="shared" ref="F257" si="36">C257-D257+E257</f>
        <v>-350</v>
      </c>
      <c r="H257" s="302" t="s">
        <v>164</v>
      </c>
    </row>
    <row r="258" spans="1:8" x14ac:dyDescent="0.25">
      <c r="A258" s="314">
        <v>520990505</v>
      </c>
      <c r="B258" s="306" t="s">
        <v>588</v>
      </c>
      <c r="C258" s="282">
        <v>0</v>
      </c>
      <c r="D258" s="313">
        <v>0</v>
      </c>
      <c r="E258" s="285"/>
      <c r="F258" s="284">
        <f t="shared" si="26"/>
        <v>0</v>
      </c>
      <c r="H258" s="302" t="s">
        <v>164</v>
      </c>
    </row>
    <row r="259" spans="1:8" x14ac:dyDescent="0.25">
      <c r="A259" s="314">
        <v>520990600</v>
      </c>
      <c r="B259" s="306" t="s">
        <v>88</v>
      </c>
      <c r="C259" s="282">
        <v>0</v>
      </c>
      <c r="D259" s="282">
        <v>0</v>
      </c>
      <c r="E259" s="285"/>
      <c r="F259" s="284">
        <f t="shared" si="26"/>
        <v>0</v>
      </c>
      <c r="H259" s="302" t="s">
        <v>164</v>
      </c>
    </row>
    <row r="260" spans="1:8" s="281" customFormat="1" x14ac:dyDescent="0.25">
      <c r="A260" s="288">
        <v>5300</v>
      </c>
      <c r="B260" s="289" t="s">
        <v>152</v>
      </c>
      <c r="C260" s="282">
        <v>0</v>
      </c>
      <c r="D260" s="282">
        <v>0</v>
      </c>
      <c r="E260" s="285"/>
      <c r="F260" s="284">
        <f t="shared" si="26"/>
        <v>0</v>
      </c>
      <c r="G260" s="285"/>
      <c r="H260" s="302" t="s">
        <v>164</v>
      </c>
    </row>
    <row r="261" spans="1:8" s="281" customFormat="1" x14ac:dyDescent="0.25">
      <c r="A261" s="288">
        <v>5301</v>
      </c>
      <c r="B261" s="289" t="s">
        <v>520</v>
      </c>
      <c r="C261" s="282">
        <v>0</v>
      </c>
      <c r="D261" s="282">
        <v>0</v>
      </c>
      <c r="E261" s="285"/>
      <c r="F261" s="284">
        <f t="shared" si="26"/>
        <v>0</v>
      </c>
      <c r="G261" s="285"/>
      <c r="H261" s="302" t="s">
        <v>164</v>
      </c>
    </row>
    <row r="262" spans="1:8" s="281" customFormat="1" x14ac:dyDescent="0.25">
      <c r="A262" s="288">
        <v>5302</v>
      </c>
      <c r="B262" s="289" t="s">
        <v>153</v>
      </c>
      <c r="C262" s="282">
        <v>0</v>
      </c>
      <c r="D262" s="282">
        <v>0</v>
      </c>
      <c r="E262" s="285"/>
      <c r="F262" s="284">
        <f t="shared" si="26"/>
        <v>0</v>
      </c>
      <c r="G262" s="285"/>
      <c r="H262" s="302" t="s">
        <v>164</v>
      </c>
    </row>
    <row r="263" spans="1:8" s="281" customFormat="1" x14ac:dyDescent="0.25">
      <c r="A263" s="288">
        <v>5400</v>
      </c>
      <c r="B263" s="289" t="s">
        <v>154</v>
      </c>
      <c r="C263" s="282">
        <v>9987.59</v>
      </c>
      <c r="D263" s="282">
        <v>0</v>
      </c>
      <c r="E263" s="285"/>
      <c r="F263" s="284">
        <f t="shared" si="26"/>
        <v>9987.59</v>
      </c>
      <c r="G263" s="285"/>
      <c r="H263" s="302" t="s">
        <v>164</v>
      </c>
    </row>
    <row r="264" spans="1:8" s="281" customFormat="1" x14ac:dyDescent="0.25">
      <c r="A264" s="288">
        <v>540090007</v>
      </c>
      <c r="B264" s="289" t="s">
        <v>78</v>
      </c>
      <c r="C264" s="282">
        <v>0</v>
      </c>
      <c r="D264" s="282">
        <v>0</v>
      </c>
      <c r="E264" s="285"/>
      <c r="F264" s="284">
        <f t="shared" si="26"/>
        <v>0</v>
      </c>
      <c r="G264" s="285"/>
      <c r="H264" s="302" t="s">
        <v>164</v>
      </c>
    </row>
    <row r="265" spans="1:8" s="281" customFormat="1" x14ac:dyDescent="0.25">
      <c r="A265" s="288">
        <v>5401</v>
      </c>
      <c r="B265" s="289" t="s">
        <v>155</v>
      </c>
      <c r="C265" s="282">
        <v>0</v>
      </c>
      <c r="D265" s="282">
        <v>0</v>
      </c>
      <c r="E265" s="285"/>
      <c r="F265" s="284">
        <f t="shared" si="26"/>
        <v>0</v>
      </c>
      <c r="G265" s="285"/>
      <c r="H265" s="302" t="s">
        <v>164</v>
      </c>
    </row>
    <row r="266" spans="1:8" s="281" customFormat="1" x14ac:dyDescent="0.25">
      <c r="A266" s="288">
        <v>5402</v>
      </c>
      <c r="B266" s="289" t="s">
        <v>145</v>
      </c>
      <c r="C266" s="282">
        <v>0</v>
      </c>
      <c r="D266" s="282">
        <v>0</v>
      </c>
      <c r="E266" s="285"/>
      <c r="F266" s="284">
        <f t="shared" si="26"/>
        <v>0</v>
      </c>
      <c r="G266" s="285"/>
      <c r="H266" s="302" t="s">
        <v>164</v>
      </c>
    </row>
    <row r="267" spans="1:8" s="281" customFormat="1" x14ac:dyDescent="0.25">
      <c r="A267" s="288">
        <v>5403</v>
      </c>
      <c r="B267" s="289" t="s">
        <v>156</v>
      </c>
      <c r="C267" s="282">
        <v>0</v>
      </c>
      <c r="D267" s="282">
        <v>0</v>
      </c>
      <c r="E267" s="285"/>
      <c r="F267" s="284">
        <f t="shared" si="26"/>
        <v>0</v>
      </c>
      <c r="G267" s="285"/>
      <c r="H267" s="302" t="s">
        <v>164</v>
      </c>
    </row>
    <row r="268" spans="1:8" s="281" customFormat="1" x14ac:dyDescent="0.25">
      <c r="A268" s="288">
        <v>5404</v>
      </c>
      <c r="B268" s="289" t="s">
        <v>540</v>
      </c>
      <c r="C268" s="282">
        <v>0</v>
      </c>
      <c r="D268" s="282">
        <v>0</v>
      </c>
      <c r="E268" s="285"/>
      <c r="F268" s="284">
        <f t="shared" si="26"/>
        <v>0</v>
      </c>
      <c r="G268" s="285"/>
      <c r="H268" s="302" t="s">
        <v>164</v>
      </c>
    </row>
    <row r="269" spans="1:8" s="281" customFormat="1" x14ac:dyDescent="0.25">
      <c r="A269" s="288">
        <v>5405</v>
      </c>
      <c r="B269" s="289" t="s">
        <v>65</v>
      </c>
      <c r="C269" s="282">
        <v>1693</v>
      </c>
      <c r="D269" s="282">
        <v>0</v>
      </c>
      <c r="E269" s="285"/>
      <c r="F269" s="284">
        <f t="shared" si="26"/>
        <v>1693</v>
      </c>
      <c r="G269" s="285"/>
      <c r="H269" s="302" t="s">
        <v>164</v>
      </c>
    </row>
    <row r="270" spans="1:8" s="281" customFormat="1" x14ac:dyDescent="0.25">
      <c r="A270" s="288">
        <v>5406</v>
      </c>
      <c r="B270" s="289" t="s">
        <v>538</v>
      </c>
      <c r="C270" s="282">
        <v>1843.31</v>
      </c>
      <c r="D270" s="282">
        <v>0</v>
      </c>
      <c r="E270" s="285"/>
      <c r="F270" s="284">
        <f t="shared" ref="F270" si="37">C270-D270+E270</f>
        <v>1843.31</v>
      </c>
      <c r="G270" s="285"/>
      <c r="H270" s="302" t="s">
        <v>164</v>
      </c>
    </row>
    <row r="271" spans="1:8" s="281" customFormat="1" x14ac:dyDescent="0.25">
      <c r="A271" s="288">
        <v>5410</v>
      </c>
      <c r="B271" s="289" t="s">
        <v>157</v>
      </c>
      <c r="C271" s="282">
        <v>0</v>
      </c>
      <c r="D271" s="282">
        <v>0</v>
      </c>
      <c r="E271" s="285"/>
      <c r="F271" s="284">
        <f t="shared" si="26"/>
        <v>0</v>
      </c>
      <c r="G271" s="285"/>
      <c r="H271" s="302" t="s">
        <v>164</v>
      </c>
    </row>
    <row r="272" spans="1:8" s="281" customFormat="1" x14ac:dyDescent="0.25">
      <c r="A272" s="314">
        <v>5420</v>
      </c>
      <c r="B272" s="306" t="s">
        <v>146</v>
      </c>
      <c r="C272" s="282">
        <v>9691.4</v>
      </c>
      <c r="D272" s="282">
        <v>0</v>
      </c>
      <c r="E272" s="285"/>
      <c r="F272" s="284">
        <f t="shared" si="26"/>
        <v>9691.4</v>
      </c>
      <c r="G272" s="285"/>
      <c r="H272" s="302" t="s">
        <v>164</v>
      </c>
    </row>
    <row r="273" spans="1:9" s="281" customFormat="1" x14ac:dyDescent="0.25">
      <c r="A273" s="314">
        <v>5421</v>
      </c>
      <c r="B273" s="306" t="s">
        <v>147</v>
      </c>
      <c r="C273" s="282">
        <v>0</v>
      </c>
      <c r="D273" s="282">
        <v>0</v>
      </c>
      <c r="E273" s="285"/>
      <c r="F273" s="284">
        <f t="shared" si="26"/>
        <v>0</v>
      </c>
      <c r="G273" s="285"/>
      <c r="H273" s="302" t="s">
        <v>164</v>
      </c>
    </row>
    <row r="274" spans="1:9" s="281" customFormat="1" x14ac:dyDescent="0.25">
      <c r="A274" s="314">
        <v>5423</v>
      </c>
      <c r="B274" s="306" t="s">
        <v>158</v>
      </c>
      <c r="C274" s="282">
        <v>0</v>
      </c>
      <c r="D274" s="282">
        <v>0</v>
      </c>
      <c r="E274" s="285"/>
      <c r="F274" s="284">
        <f t="shared" si="26"/>
        <v>0</v>
      </c>
      <c r="G274" s="285"/>
      <c r="H274" s="302" t="s">
        <v>164</v>
      </c>
    </row>
    <row r="275" spans="1:9" s="281" customFormat="1" x14ac:dyDescent="0.25">
      <c r="A275" s="314">
        <v>5424</v>
      </c>
      <c r="B275" s="306" t="s">
        <v>159</v>
      </c>
      <c r="C275" s="282">
        <v>5194.18</v>
      </c>
      <c r="D275" s="282">
        <v>0</v>
      </c>
      <c r="E275" s="285"/>
      <c r="F275" s="284">
        <f t="shared" si="26"/>
        <v>5194.18</v>
      </c>
      <c r="G275" s="285"/>
      <c r="H275" s="302" t="s">
        <v>164</v>
      </c>
    </row>
    <row r="276" spans="1:9" s="281" customFormat="1" x14ac:dyDescent="0.25">
      <c r="A276" s="288">
        <v>5500</v>
      </c>
      <c r="B276" s="306" t="s">
        <v>160</v>
      </c>
      <c r="C276" s="282">
        <v>4097.43</v>
      </c>
      <c r="D276" s="282">
        <v>0</v>
      </c>
      <c r="E276" s="285"/>
      <c r="F276" s="284">
        <f t="shared" si="26"/>
        <v>4097.43</v>
      </c>
      <c r="G276" s="285"/>
      <c r="H276" s="302" t="s">
        <v>164</v>
      </c>
    </row>
    <row r="277" spans="1:9" s="281" customFormat="1" x14ac:dyDescent="0.25">
      <c r="A277" s="288">
        <v>5501</v>
      </c>
      <c r="B277" s="306" t="s">
        <v>396</v>
      </c>
      <c r="C277" s="282">
        <v>45.34</v>
      </c>
      <c r="D277" s="282">
        <v>0</v>
      </c>
      <c r="E277" s="285"/>
      <c r="F277" s="284">
        <f t="shared" si="26"/>
        <v>45.34</v>
      </c>
      <c r="G277" s="285"/>
      <c r="H277" s="302" t="s">
        <v>164</v>
      </c>
    </row>
    <row r="278" spans="1:9" s="281" customFormat="1" x14ac:dyDescent="0.25">
      <c r="A278" s="288">
        <v>5502</v>
      </c>
      <c r="B278" s="306" t="s">
        <v>66</v>
      </c>
      <c r="C278" s="282">
        <v>0</v>
      </c>
      <c r="D278" s="282">
        <v>0</v>
      </c>
      <c r="E278" s="285"/>
      <c r="F278" s="284">
        <f t="shared" si="26"/>
        <v>0</v>
      </c>
      <c r="G278" s="285"/>
      <c r="H278" s="302" t="s">
        <v>164</v>
      </c>
    </row>
    <row r="279" spans="1:9" s="281" customFormat="1" x14ac:dyDescent="0.25">
      <c r="A279" s="288">
        <v>5700</v>
      </c>
      <c r="B279" s="306" t="s">
        <v>533</v>
      </c>
      <c r="C279" s="282">
        <f>838.23+42500</f>
        <v>43338.23</v>
      </c>
      <c r="D279" s="282">
        <v>0</v>
      </c>
      <c r="E279" s="285"/>
      <c r="F279" s="284">
        <f t="shared" si="26"/>
        <v>43338.23</v>
      </c>
      <c r="G279" s="285"/>
      <c r="H279" s="302" t="s">
        <v>164</v>
      </c>
    </row>
    <row r="280" spans="1:9" x14ac:dyDescent="0.25">
      <c r="A280" s="288">
        <v>7000</v>
      </c>
      <c r="B280" s="281" t="s">
        <v>644</v>
      </c>
      <c r="C280" s="282">
        <v>10640.15</v>
      </c>
      <c r="D280" s="282">
        <v>0</v>
      </c>
      <c r="E280" s="285"/>
      <c r="F280" s="284">
        <f t="shared" si="26"/>
        <v>10640.15</v>
      </c>
      <c r="H280" s="286" t="s">
        <v>305</v>
      </c>
      <c r="I280" s="340"/>
    </row>
    <row r="281" spans="1:9" x14ac:dyDescent="0.25">
      <c r="A281" s="288">
        <v>7001</v>
      </c>
      <c r="B281" s="281" t="s">
        <v>604</v>
      </c>
      <c r="C281" s="282">
        <v>7887.54</v>
      </c>
      <c r="D281" s="282">
        <v>0</v>
      </c>
      <c r="F281" s="284">
        <f t="shared" si="26"/>
        <v>7887.54</v>
      </c>
      <c r="H281" s="286" t="s">
        <v>305</v>
      </c>
      <c r="I281" s="340"/>
    </row>
    <row r="282" spans="1:9" x14ac:dyDescent="0.25">
      <c r="A282" s="288">
        <v>7002</v>
      </c>
      <c r="B282" s="281" t="s">
        <v>148</v>
      </c>
      <c r="C282" s="282">
        <v>0</v>
      </c>
      <c r="D282" s="282">
        <v>27200</v>
      </c>
      <c r="E282" s="285">
        <v>18000</v>
      </c>
      <c r="F282" s="284">
        <f t="shared" si="26"/>
        <v>-9200</v>
      </c>
      <c r="H282" s="315" t="s">
        <v>392</v>
      </c>
      <c r="I282" s="340"/>
    </row>
    <row r="283" spans="1:9" x14ac:dyDescent="0.25">
      <c r="A283" s="288">
        <v>7003</v>
      </c>
      <c r="B283" s="281" t="s">
        <v>605</v>
      </c>
      <c r="C283" s="282">
        <v>0</v>
      </c>
      <c r="D283" s="282">
        <v>0</v>
      </c>
      <c r="E283" s="285"/>
      <c r="F283" s="284">
        <f t="shared" ref="F283" si="38">C283-D283+E283</f>
        <v>0</v>
      </c>
      <c r="H283" s="315" t="s">
        <v>392</v>
      </c>
      <c r="I283" s="340"/>
    </row>
    <row r="284" spans="1:9" x14ac:dyDescent="0.25">
      <c r="A284" s="288">
        <v>7004</v>
      </c>
      <c r="B284" s="281" t="s">
        <v>606</v>
      </c>
      <c r="C284" s="282">
        <v>0</v>
      </c>
      <c r="D284" s="282">
        <v>477.77</v>
      </c>
      <c r="E284" s="285"/>
      <c r="F284" s="284">
        <f t="shared" si="26"/>
        <v>-477.77</v>
      </c>
      <c r="H284" s="286" t="s">
        <v>305</v>
      </c>
      <c r="I284" s="340"/>
    </row>
    <row r="285" spans="1:9" x14ac:dyDescent="0.25">
      <c r="A285" s="288">
        <v>7005</v>
      </c>
      <c r="B285" s="281" t="s">
        <v>673</v>
      </c>
      <c r="C285" s="282">
        <v>1400</v>
      </c>
      <c r="D285" s="282">
        <v>0</v>
      </c>
      <c r="E285" s="285"/>
      <c r="F285" s="284">
        <f t="shared" ref="F285:F346" si="39">C285-D285+E285</f>
        <v>1400</v>
      </c>
      <c r="H285" s="286" t="s">
        <v>305</v>
      </c>
      <c r="I285" s="340"/>
    </row>
    <row r="286" spans="1:9" x14ac:dyDescent="0.25">
      <c r="A286" s="288">
        <v>7006</v>
      </c>
      <c r="B286" s="281" t="s">
        <v>126</v>
      </c>
      <c r="C286" s="282">
        <v>0</v>
      </c>
      <c r="D286" s="282">
        <v>0</v>
      </c>
      <c r="E286" s="285"/>
      <c r="F286" s="284">
        <f t="shared" si="39"/>
        <v>0</v>
      </c>
      <c r="H286" s="286" t="s">
        <v>305</v>
      </c>
      <c r="I286" s="340"/>
    </row>
    <row r="287" spans="1:9" x14ac:dyDescent="0.25">
      <c r="A287" s="288">
        <v>7010</v>
      </c>
      <c r="B287" s="281" t="s">
        <v>607</v>
      </c>
      <c r="C287" s="282">
        <v>14142.05</v>
      </c>
      <c r="D287" s="282">
        <v>0</v>
      </c>
      <c r="E287" s="285"/>
      <c r="F287" s="284">
        <f t="shared" ref="F287" si="40">C287-D287+E287</f>
        <v>14142.05</v>
      </c>
      <c r="H287" s="286" t="s">
        <v>305</v>
      </c>
      <c r="I287" s="340"/>
    </row>
    <row r="288" spans="1:9" x14ac:dyDescent="0.25">
      <c r="A288" s="288">
        <v>7012</v>
      </c>
      <c r="B288" s="281" t="s">
        <v>127</v>
      </c>
      <c r="C288" s="282">
        <v>0</v>
      </c>
      <c r="D288" s="282">
        <v>8518</v>
      </c>
      <c r="E288" s="285">
        <v>4000</v>
      </c>
      <c r="F288" s="284">
        <f t="shared" si="39"/>
        <v>-4518</v>
      </c>
      <c r="H288" s="315" t="s">
        <v>392</v>
      </c>
      <c r="I288" s="340"/>
    </row>
    <row r="289" spans="1:15" x14ac:dyDescent="0.25">
      <c r="A289" s="288">
        <v>7013</v>
      </c>
      <c r="B289" s="281" t="s">
        <v>405</v>
      </c>
      <c r="C289" s="282">
        <v>0</v>
      </c>
      <c r="D289" s="282">
        <v>0</v>
      </c>
      <c r="F289" s="284">
        <f t="shared" si="39"/>
        <v>0</v>
      </c>
      <c r="H289" s="315" t="s">
        <v>392</v>
      </c>
      <c r="I289" s="340"/>
    </row>
    <row r="290" spans="1:15" x14ac:dyDescent="0.25">
      <c r="A290" s="288">
        <v>7100</v>
      </c>
      <c r="B290" s="281" t="s">
        <v>149</v>
      </c>
      <c r="C290" s="282">
        <v>0</v>
      </c>
      <c r="D290" s="282">
        <v>0</v>
      </c>
      <c r="F290" s="284">
        <f t="shared" si="39"/>
        <v>0</v>
      </c>
      <c r="H290" s="286" t="s">
        <v>305</v>
      </c>
      <c r="I290" s="340"/>
    </row>
    <row r="291" spans="1:15" x14ac:dyDescent="0.25">
      <c r="A291" s="288">
        <v>7130</v>
      </c>
      <c r="B291" s="281" t="s">
        <v>150</v>
      </c>
      <c r="C291" s="282">
        <v>0</v>
      </c>
      <c r="D291" s="282">
        <v>0</v>
      </c>
      <c r="F291" s="284">
        <f t="shared" si="39"/>
        <v>0</v>
      </c>
      <c r="H291" s="286" t="s">
        <v>305</v>
      </c>
      <c r="I291" s="340"/>
    </row>
    <row r="292" spans="1:15" x14ac:dyDescent="0.25">
      <c r="A292" s="288">
        <v>7150</v>
      </c>
      <c r="B292" s="281" t="s">
        <v>151</v>
      </c>
      <c r="C292" s="282">
        <v>0</v>
      </c>
      <c r="D292" s="282">
        <v>0</v>
      </c>
      <c r="F292" s="284">
        <f t="shared" si="39"/>
        <v>0</v>
      </c>
      <c r="H292" s="286" t="s">
        <v>305</v>
      </c>
    </row>
    <row r="293" spans="1:15" x14ac:dyDescent="0.25">
      <c r="A293" s="280">
        <v>7200</v>
      </c>
      <c r="B293" s="281" t="s">
        <v>106</v>
      </c>
      <c r="C293" s="282">
        <v>0</v>
      </c>
      <c r="D293" s="282">
        <v>0</v>
      </c>
      <c r="F293" s="284">
        <f t="shared" si="39"/>
        <v>0</v>
      </c>
      <c r="H293" s="286" t="s">
        <v>106</v>
      </c>
    </row>
    <row r="294" spans="1:15" x14ac:dyDescent="0.25">
      <c r="A294" s="280">
        <v>8000</v>
      </c>
      <c r="B294" s="281" t="s">
        <v>240</v>
      </c>
      <c r="C294" s="282">
        <v>0</v>
      </c>
      <c r="D294" s="282">
        <v>146601.75</v>
      </c>
      <c r="E294" s="283">
        <v>99602</v>
      </c>
      <c r="F294" s="284">
        <f t="shared" si="39"/>
        <v>-46999.75</v>
      </c>
      <c r="H294" s="286" t="s">
        <v>267</v>
      </c>
      <c r="J294" s="286"/>
      <c r="K294" s="286"/>
      <c r="L294" s="286"/>
      <c r="M294" s="298"/>
      <c r="N294" s="301"/>
      <c r="O294" s="298"/>
    </row>
    <row r="295" spans="1:15" x14ac:dyDescent="0.25">
      <c r="A295" s="280">
        <v>8001</v>
      </c>
      <c r="B295" s="281" t="s">
        <v>241</v>
      </c>
      <c r="C295" s="282">
        <v>0</v>
      </c>
      <c r="D295" s="282">
        <v>376837</v>
      </c>
      <c r="E295" s="283">
        <v>235170</v>
      </c>
      <c r="F295" s="284">
        <f t="shared" si="39"/>
        <v>-141667</v>
      </c>
      <c r="H295" s="286" t="s">
        <v>267</v>
      </c>
      <c r="J295" s="286"/>
      <c r="K295" s="286"/>
      <c r="L295" s="286"/>
      <c r="M295" s="298"/>
      <c r="N295" s="301"/>
      <c r="O295" s="298"/>
    </row>
    <row r="296" spans="1:15" x14ac:dyDescent="0.25">
      <c r="A296" s="280">
        <v>8002</v>
      </c>
      <c r="B296" s="281" t="s">
        <v>242</v>
      </c>
      <c r="C296" s="282">
        <v>0</v>
      </c>
      <c r="D296" s="282">
        <v>13932</v>
      </c>
      <c r="E296" s="283">
        <v>9165</v>
      </c>
      <c r="F296" s="284">
        <f t="shared" si="39"/>
        <v>-4767</v>
      </c>
      <c r="H296" s="286" t="s">
        <v>267</v>
      </c>
      <c r="J296" s="286"/>
      <c r="K296" s="286"/>
      <c r="L296" s="286"/>
      <c r="M296" s="298"/>
      <c r="N296" s="301"/>
      <c r="O296" s="298"/>
    </row>
    <row r="297" spans="1:15" x14ac:dyDescent="0.25">
      <c r="A297" s="280">
        <v>8003</v>
      </c>
      <c r="B297" s="281" t="s">
        <v>243</v>
      </c>
      <c r="C297" s="282">
        <v>0</v>
      </c>
      <c r="D297" s="282">
        <v>8969</v>
      </c>
      <c r="E297" s="283">
        <v>6102</v>
      </c>
      <c r="F297" s="284">
        <f t="shared" si="39"/>
        <v>-2867</v>
      </c>
      <c r="H297" s="286" t="s">
        <v>267</v>
      </c>
      <c r="J297" s="286"/>
      <c r="K297" s="286"/>
      <c r="L297" s="286"/>
      <c r="M297" s="298"/>
      <c r="N297" s="301"/>
      <c r="O297" s="298"/>
    </row>
    <row r="298" spans="1:15" x14ac:dyDescent="0.25">
      <c r="A298" s="280">
        <v>8004</v>
      </c>
      <c r="B298" s="281" t="s">
        <v>239</v>
      </c>
      <c r="C298" s="282">
        <v>0</v>
      </c>
      <c r="D298" s="282">
        <v>2828</v>
      </c>
      <c r="E298" s="283">
        <v>-15505</v>
      </c>
      <c r="F298" s="284">
        <f t="shared" si="39"/>
        <v>-18333</v>
      </c>
      <c r="H298" s="286" t="s">
        <v>278</v>
      </c>
      <c r="J298" s="286"/>
      <c r="K298" s="286"/>
      <c r="L298" s="286"/>
      <c r="M298" s="298"/>
      <c r="N298" s="301"/>
      <c r="O298" s="298"/>
    </row>
    <row r="299" spans="1:15" x14ac:dyDescent="0.25">
      <c r="A299" s="280">
        <v>8005</v>
      </c>
      <c r="B299" s="281" t="s">
        <v>244</v>
      </c>
      <c r="C299" s="282">
        <v>0</v>
      </c>
      <c r="D299" s="282">
        <v>0</v>
      </c>
      <c r="E299" s="283">
        <v>-6000</v>
      </c>
      <c r="F299" s="284">
        <f t="shared" si="39"/>
        <v>-6000</v>
      </c>
      <c r="H299" s="286" t="s">
        <v>278</v>
      </c>
      <c r="J299" s="286"/>
      <c r="K299" s="286"/>
      <c r="L299" s="286"/>
      <c r="M299" s="298"/>
      <c r="N299" s="301"/>
      <c r="O299" s="298"/>
    </row>
    <row r="300" spans="1:15" x14ac:dyDescent="0.25">
      <c r="A300" s="280">
        <v>8006</v>
      </c>
      <c r="B300" s="281" t="s">
        <v>689</v>
      </c>
      <c r="C300" s="282">
        <v>40478.639999999999</v>
      </c>
      <c r="D300" s="282">
        <v>0</v>
      </c>
      <c r="F300" s="284">
        <f t="shared" si="39"/>
        <v>40478.639999999999</v>
      </c>
      <c r="H300" s="286" t="s">
        <v>267</v>
      </c>
      <c r="J300" s="286"/>
      <c r="K300" s="316"/>
      <c r="L300" s="316"/>
    </row>
    <row r="301" spans="1:15" x14ac:dyDescent="0.25">
      <c r="A301" s="280">
        <v>8008</v>
      </c>
      <c r="B301" s="281" t="s">
        <v>279</v>
      </c>
      <c r="C301" s="282">
        <v>0</v>
      </c>
      <c r="D301" s="282">
        <v>19166.22</v>
      </c>
      <c r="E301" s="283">
        <v>-30250</v>
      </c>
      <c r="F301" s="284">
        <f t="shared" si="39"/>
        <v>-49416.22</v>
      </c>
      <c r="H301" s="286" t="s">
        <v>278</v>
      </c>
      <c r="J301" s="286"/>
      <c r="K301" s="316"/>
      <c r="L301" s="316"/>
    </row>
    <row r="302" spans="1:15" x14ac:dyDescent="0.25">
      <c r="A302" s="304">
        <v>8009</v>
      </c>
      <c r="B302" s="300" t="s">
        <v>631</v>
      </c>
      <c r="C302" s="282">
        <v>0</v>
      </c>
      <c r="D302" s="282">
        <v>251150.5</v>
      </c>
      <c r="E302" s="283">
        <v>169367</v>
      </c>
      <c r="F302" s="284">
        <f t="shared" si="39"/>
        <v>-81783.5</v>
      </c>
      <c r="H302" s="286" t="s">
        <v>417</v>
      </c>
      <c r="J302" s="286"/>
      <c r="K302" s="316"/>
      <c r="L302" s="316"/>
    </row>
    <row r="303" spans="1:15" x14ac:dyDescent="0.25">
      <c r="A303" s="280">
        <v>8010</v>
      </c>
      <c r="B303" s="281" t="s">
        <v>245</v>
      </c>
      <c r="C303" s="282">
        <v>0</v>
      </c>
      <c r="D303" s="282">
        <v>2336</v>
      </c>
      <c r="E303" s="283">
        <v>-81544</v>
      </c>
      <c r="F303" s="284">
        <f t="shared" si="39"/>
        <v>-83880</v>
      </c>
      <c r="H303" s="286" t="s">
        <v>267</v>
      </c>
    </row>
    <row r="304" spans="1:15" x14ac:dyDescent="0.25">
      <c r="A304" s="280">
        <v>8011</v>
      </c>
      <c r="B304" s="281" t="s">
        <v>634</v>
      </c>
      <c r="C304" s="282">
        <v>15870</v>
      </c>
      <c r="D304" s="282">
        <v>0</v>
      </c>
      <c r="E304" s="283">
        <v>-10580</v>
      </c>
      <c r="F304" s="284">
        <f t="shared" si="39"/>
        <v>5290</v>
      </c>
      <c r="H304" s="286" t="s">
        <v>417</v>
      </c>
    </row>
    <row r="305" spans="1:8" x14ac:dyDescent="0.25">
      <c r="A305" s="280">
        <v>8012</v>
      </c>
      <c r="B305" s="281" t="s">
        <v>632</v>
      </c>
      <c r="C305" s="282">
        <v>0</v>
      </c>
      <c r="D305" s="282">
        <v>19750</v>
      </c>
      <c r="E305" s="283">
        <v>13333</v>
      </c>
      <c r="F305" s="284">
        <f t="shared" ref="F305" si="41">C305-D305+E305</f>
        <v>-6417</v>
      </c>
      <c r="H305" s="286" t="s">
        <v>622</v>
      </c>
    </row>
    <row r="306" spans="1:8" x14ac:dyDescent="0.25">
      <c r="A306" s="280">
        <v>8013</v>
      </c>
      <c r="B306" s="281" t="s">
        <v>633</v>
      </c>
      <c r="C306" s="282">
        <v>1694</v>
      </c>
      <c r="D306" s="282">
        <v>0</v>
      </c>
      <c r="E306" s="283">
        <v>-1129</v>
      </c>
      <c r="F306" s="284">
        <f t="shared" ref="F306" si="42">C306-D306+E306</f>
        <v>565</v>
      </c>
      <c r="H306" s="286" t="s">
        <v>622</v>
      </c>
    </row>
    <row r="307" spans="1:8" x14ac:dyDescent="0.25">
      <c r="A307" s="280">
        <v>8014</v>
      </c>
      <c r="B307" s="281" t="s">
        <v>635</v>
      </c>
      <c r="C307" s="282">
        <v>0</v>
      </c>
      <c r="D307" s="282">
        <v>3202</v>
      </c>
      <c r="F307" s="284">
        <f t="shared" ref="F307" si="43">C307-D307+E307</f>
        <v>-3202</v>
      </c>
      <c r="H307" s="286" t="s">
        <v>694</v>
      </c>
    </row>
    <row r="308" spans="1:8" x14ac:dyDescent="0.25">
      <c r="A308" s="280">
        <v>8200</v>
      </c>
      <c r="B308" s="281" t="s">
        <v>246</v>
      </c>
      <c r="C308" s="282">
        <v>0</v>
      </c>
      <c r="D308" s="282">
        <v>0</v>
      </c>
      <c r="F308" s="284">
        <f t="shared" si="39"/>
        <v>0</v>
      </c>
      <c r="H308" s="286" t="s">
        <v>277</v>
      </c>
    </row>
    <row r="309" spans="1:8" x14ac:dyDescent="0.25">
      <c r="A309" s="280">
        <v>8300</v>
      </c>
      <c r="B309" s="281" t="s">
        <v>103</v>
      </c>
      <c r="C309" s="282">
        <v>0</v>
      </c>
      <c r="D309" s="282">
        <v>0</v>
      </c>
      <c r="F309" s="284">
        <f t="shared" si="39"/>
        <v>0</v>
      </c>
      <c r="H309" s="286" t="s">
        <v>322</v>
      </c>
    </row>
    <row r="310" spans="1:8" x14ac:dyDescent="0.25">
      <c r="A310" s="280">
        <v>8500</v>
      </c>
      <c r="B310" s="281" t="s">
        <v>542</v>
      </c>
      <c r="C310" s="282">
        <v>0</v>
      </c>
      <c r="D310" s="282">
        <v>29759</v>
      </c>
      <c r="F310" s="284">
        <f t="shared" si="39"/>
        <v>-29759</v>
      </c>
      <c r="H310" s="286" t="s">
        <v>277</v>
      </c>
    </row>
    <row r="311" spans="1:8" x14ac:dyDescent="0.25">
      <c r="A311" s="280">
        <v>8501</v>
      </c>
      <c r="B311" s="281" t="s">
        <v>399</v>
      </c>
      <c r="C311" s="282">
        <v>0</v>
      </c>
      <c r="D311" s="282">
        <v>423680</v>
      </c>
      <c r="E311" s="283">
        <v>570286</v>
      </c>
      <c r="F311" s="284">
        <f t="shared" si="39"/>
        <v>146606</v>
      </c>
      <c r="H311" s="286" t="s">
        <v>277</v>
      </c>
    </row>
    <row r="312" spans="1:8" x14ac:dyDescent="0.25">
      <c r="A312" s="280">
        <v>8502</v>
      </c>
      <c r="B312" s="281" t="s">
        <v>397</v>
      </c>
      <c r="C312" s="282">
        <v>0</v>
      </c>
      <c r="D312" s="282">
        <v>0</v>
      </c>
      <c r="F312" s="284">
        <f t="shared" si="39"/>
        <v>0</v>
      </c>
      <c r="H312" s="286" t="s">
        <v>277</v>
      </c>
    </row>
    <row r="313" spans="1:8" x14ac:dyDescent="0.25">
      <c r="A313" s="280">
        <v>8503</v>
      </c>
      <c r="B313" s="281" t="s">
        <v>398</v>
      </c>
      <c r="C313" s="282">
        <v>0</v>
      </c>
      <c r="D313" s="282">
        <v>192440</v>
      </c>
      <c r="F313" s="284">
        <f t="shared" si="39"/>
        <v>-192440</v>
      </c>
      <c r="H313" s="286" t="s">
        <v>277</v>
      </c>
    </row>
    <row r="314" spans="1:8" x14ac:dyDescent="0.25">
      <c r="A314" s="280">
        <v>8504</v>
      </c>
      <c r="B314" s="281" t="s">
        <v>424</v>
      </c>
      <c r="C314" s="282">
        <v>0</v>
      </c>
      <c r="D314" s="282">
        <v>0</v>
      </c>
      <c r="F314" s="284">
        <f t="shared" si="39"/>
        <v>0</v>
      </c>
      <c r="H314" s="286" t="s">
        <v>277</v>
      </c>
    </row>
    <row r="315" spans="1:8" x14ac:dyDescent="0.25">
      <c r="A315" s="280">
        <v>8505</v>
      </c>
      <c r="B315" s="281" t="s">
        <v>690</v>
      </c>
      <c r="C315" s="282">
        <v>0</v>
      </c>
      <c r="D315" s="282">
        <v>209550</v>
      </c>
      <c r="F315" s="284">
        <f t="shared" si="39"/>
        <v>-209550</v>
      </c>
      <c r="H315" s="286" t="s">
        <v>277</v>
      </c>
    </row>
    <row r="316" spans="1:8" x14ac:dyDescent="0.25">
      <c r="A316" s="280">
        <v>8506</v>
      </c>
      <c r="B316" s="281" t="s">
        <v>85</v>
      </c>
      <c r="C316" s="282">
        <v>0</v>
      </c>
      <c r="D316" s="282">
        <v>0</v>
      </c>
      <c r="F316" s="284">
        <f t="shared" si="39"/>
        <v>0</v>
      </c>
      <c r="H316" s="286" t="s">
        <v>277</v>
      </c>
    </row>
    <row r="317" spans="1:8" x14ac:dyDescent="0.25">
      <c r="A317" s="280">
        <v>8507</v>
      </c>
      <c r="B317" s="281" t="s">
        <v>93</v>
      </c>
      <c r="C317" s="282">
        <v>0</v>
      </c>
      <c r="D317" s="282">
        <v>66000</v>
      </c>
      <c r="E317" s="283">
        <v>44000</v>
      </c>
      <c r="F317" s="284">
        <f t="shared" si="39"/>
        <v>-22000</v>
      </c>
      <c r="H317" s="286" t="s">
        <v>277</v>
      </c>
    </row>
    <row r="318" spans="1:8" x14ac:dyDescent="0.25">
      <c r="A318" s="280">
        <v>8508</v>
      </c>
      <c r="B318" s="281" t="s">
        <v>67</v>
      </c>
      <c r="C318" s="282">
        <v>0</v>
      </c>
      <c r="D318" s="282">
        <v>0</v>
      </c>
      <c r="F318" s="284">
        <f t="shared" si="39"/>
        <v>0</v>
      </c>
      <c r="H318" s="286" t="s">
        <v>277</v>
      </c>
    </row>
    <row r="319" spans="1:8" x14ac:dyDescent="0.25">
      <c r="A319" s="304">
        <v>8509</v>
      </c>
      <c r="B319" s="300" t="s">
        <v>501</v>
      </c>
      <c r="C319" s="282">
        <v>0</v>
      </c>
      <c r="D319" s="282">
        <v>0</v>
      </c>
      <c r="F319" s="284">
        <f t="shared" si="39"/>
        <v>0</v>
      </c>
      <c r="H319" s="286" t="s">
        <v>277</v>
      </c>
    </row>
    <row r="320" spans="1:8" x14ac:dyDescent="0.25">
      <c r="A320" s="280">
        <v>8510</v>
      </c>
      <c r="B320" s="281" t="s">
        <v>161</v>
      </c>
      <c r="C320" s="282">
        <v>0</v>
      </c>
      <c r="D320" s="282">
        <v>0</v>
      </c>
      <c r="F320" s="284">
        <f t="shared" si="39"/>
        <v>0</v>
      </c>
      <c r="H320" s="286" t="s">
        <v>277</v>
      </c>
    </row>
    <row r="321" spans="1:14" x14ac:dyDescent="0.25">
      <c r="A321" s="280">
        <v>8511</v>
      </c>
      <c r="B321" s="281" t="s">
        <v>247</v>
      </c>
      <c r="C321" s="282">
        <v>0</v>
      </c>
      <c r="D321" s="282">
        <v>0</v>
      </c>
      <c r="F321" s="284">
        <f t="shared" si="39"/>
        <v>0</v>
      </c>
      <c r="H321" s="286" t="s">
        <v>277</v>
      </c>
    </row>
    <row r="322" spans="1:14" x14ac:dyDescent="0.25">
      <c r="A322" s="280">
        <v>8512</v>
      </c>
      <c r="B322" s="281" t="s">
        <v>86</v>
      </c>
      <c r="C322" s="282">
        <v>0</v>
      </c>
      <c r="D322" s="282">
        <v>0</v>
      </c>
      <c r="F322" s="284">
        <f t="shared" si="39"/>
        <v>0</v>
      </c>
      <c r="H322" s="286" t="s">
        <v>277</v>
      </c>
    </row>
    <row r="323" spans="1:14" x14ac:dyDescent="0.25">
      <c r="A323" s="280">
        <v>8513</v>
      </c>
      <c r="B323" s="281" t="s">
        <v>541</v>
      </c>
      <c r="C323" s="282">
        <v>0</v>
      </c>
      <c r="D323" s="282">
        <v>0</v>
      </c>
      <c r="F323" s="284">
        <f t="shared" si="39"/>
        <v>0</v>
      </c>
      <c r="H323" s="286" t="s">
        <v>277</v>
      </c>
      <c r="I323" s="290"/>
      <c r="J323" s="290"/>
      <c r="K323" s="290"/>
      <c r="L323" s="290"/>
      <c r="M323" s="290"/>
      <c r="N323" s="290"/>
    </row>
    <row r="324" spans="1:14" x14ac:dyDescent="0.25">
      <c r="A324" s="280">
        <v>8514</v>
      </c>
      <c r="B324" s="281" t="s">
        <v>486</v>
      </c>
      <c r="C324" s="282">
        <v>0</v>
      </c>
      <c r="D324" s="282">
        <v>18472.66</v>
      </c>
      <c r="E324" s="283">
        <v>10606</v>
      </c>
      <c r="F324" s="284">
        <f t="shared" si="39"/>
        <v>-7866.66</v>
      </c>
      <c r="H324" s="286" t="s">
        <v>277</v>
      </c>
    </row>
    <row r="325" spans="1:14" x14ac:dyDescent="0.25">
      <c r="A325" s="280">
        <v>8515</v>
      </c>
      <c r="B325" s="281" t="s">
        <v>428</v>
      </c>
      <c r="C325" s="282">
        <v>0</v>
      </c>
      <c r="D325" s="282">
        <v>0</v>
      </c>
      <c r="F325" s="284">
        <f t="shared" si="39"/>
        <v>0</v>
      </c>
      <c r="H325" s="286" t="s">
        <v>277</v>
      </c>
    </row>
    <row r="326" spans="1:14" x14ac:dyDescent="0.25">
      <c r="A326" s="288">
        <v>8516</v>
      </c>
      <c r="B326" s="289" t="s">
        <v>108</v>
      </c>
      <c r="C326" s="282">
        <v>0</v>
      </c>
      <c r="D326" s="282">
        <v>0</v>
      </c>
      <c r="F326" s="284">
        <f t="shared" si="39"/>
        <v>0</v>
      </c>
      <c r="H326" s="286" t="s">
        <v>277</v>
      </c>
    </row>
    <row r="327" spans="1:14" x14ac:dyDescent="0.25">
      <c r="A327" s="288">
        <v>8517</v>
      </c>
      <c r="B327" s="289" t="s">
        <v>237</v>
      </c>
      <c r="C327" s="282">
        <v>0</v>
      </c>
      <c r="D327" s="282">
        <v>283415</v>
      </c>
      <c r="E327" s="283">
        <v>188943</v>
      </c>
      <c r="F327" s="284">
        <f t="shared" si="39"/>
        <v>-94472</v>
      </c>
      <c r="H327" s="286" t="s">
        <v>277</v>
      </c>
    </row>
    <row r="328" spans="1:14" x14ac:dyDescent="0.25">
      <c r="A328" s="288">
        <v>8518</v>
      </c>
      <c r="B328" s="289" t="s">
        <v>142</v>
      </c>
      <c r="C328" s="282">
        <v>0</v>
      </c>
      <c r="D328" s="282">
        <v>110000</v>
      </c>
      <c r="E328" s="283">
        <v>73333</v>
      </c>
      <c r="F328" s="284">
        <f t="shared" si="39"/>
        <v>-36667</v>
      </c>
      <c r="H328" s="286" t="s">
        <v>277</v>
      </c>
    </row>
    <row r="329" spans="1:14" x14ac:dyDescent="0.25">
      <c r="A329" s="280">
        <v>8519</v>
      </c>
      <c r="B329" s="281" t="s">
        <v>438</v>
      </c>
      <c r="C329" s="282">
        <v>0</v>
      </c>
      <c r="D329" s="282">
        <v>0</v>
      </c>
      <c r="F329" s="284">
        <f t="shared" si="39"/>
        <v>0</v>
      </c>
      <c r="H329" s="286" t="s">
        <v>277</v>
      </c>
    </row>
    <row r="330" spans="1:14" x14ac:dyDescent="0.25">
      <c r="A330" s="280">
        <v>8520</v>
      </c>
      <c r="B330" s="281" t="s">
        <v>531</v>
      </c>
      <c r="C330" s="282">
        <v>0</v>
      </c>
      <c r="D330" s="282">
        <v>0</v>
      </c>
      <c r="F330" s="284">
        <f t="shared" ref="F330:F331" si="44">C330-D330+E330</f>
        <v>0</v>
      </c>
      <c r="H330" s="302" t="s">
        <v>304</v>
      </c>
    </row>
    <row r="331" spans="1:14" x14ac:dyDescent="0.25">
      <c r="A331" s="280">
        <v>8521</v>
      </c>
      <c r="B331" s="281" t="s">
        <v>532</v>
      </c>
      <c r="C331" s="282">
        <v>0</v>
      </c>
      <c r="D331" s="282">
        <v>0</v>
      </c>
      <c r="F331" s="284">
        <f t="shared" si="44"/>
        <v>0</v>
      </c>
      <c r="H331" s="302" t="s">
        <v>304</v>
      </c>
    </row>
    <row r="332" spans="1:14" x14ac:dyDescent="0.25">
      <c r="A332" s="280">
        <v>8598</v>
      </c>
      <c r="B332" s="281" t="s">
        <v>162</v>
      </c>
      <c r="C332" s="282">
        <v>0</v>
      </c>
      <c r="D332" s="282">
        <v>0</v>
      </c>
      <c r="F332" s="284">
        <f t="shared" si="39"/>
        <v>0</v>
      </c>
      <c r="H332" s="286" t="s">
        <v>277</v>
      </c>
    </row>
    <row r="333" spans="1:14" x14ac:dyDescent="0.25">
      <c r="A333" s="280">
        <v>8600</v>
      </c>
      <c r="B333" s="281" t="s">
        <v>248</v>
      </c>
      <c r="C333" s="282">
        <v>0</v>
      </c>
      <c r="D333" s="282">
        <v>33776.51</v>
      </c>
      <c r="F333" s="284">
        <f t="shared" si="39"/>
        <v>-33776.51</v>
      </c>
      <c r="H333" s="286" t="s">
        <v>280</v>
      </c>
    </row>
    <row r="334" spans="1:14" x14ac:dyDescent="0.25">
      <c r="A334" s="280">
        <v>8601</v>
      </c>
      <c r="B334" s="281" t="s">
        <v>249</v>
      </c>
      <c r="C334" s="282">
        <v>0</v>
      </c>
      <c r="D334" s="282">
        <v>0</v>
      </c>
      <c r="F334" s="284">
        <f t="shared" si="39"/>
        <v>0</v>
      </c>
      <c r="H334" s="286" t="s">
        <v>280</v>
      </c>
    </row>
    <row r="335" spans="1:14" x14ac:dyDescent="0.25">
      <c r="A335" s="280">
        <v>8615</v>
      </c>
      <c r="B335" s="281" t="s">
        <v>87</v>
      </c>
      <c r="C335" s="282">
        <v>0</v>
      </c>
      <c r="D335" s="282">
        <v>10265.629999999999</v>
      </c>
      <c r="F335" s="284">
        <f t="shared" si="39"/>
        <v>-10265.629999999999</v>
      </c>
      <c r="H335" s="286" t="s">
        <v>280</v>
      </c>
    </row>
    <row r="336" spans="1:14" x14ac:dyDescent="0.25">
      <c r="A336" s="280">
        <v>8900</v>
      </c>
      <c r="B336" s="281" t="s">
        <v>425</v>
      </c>
      <c r="C336" s="282">
        <v>0</v>
      </c>
      <c r="D336" s="282">
        <v>0</v>
      </c>
      <c r="F336" s="284">
        <f t="shared" si="39"/>
        <v>0</v>
      </c>
      <c r="H336" s="286" t="s">
        <v>277</v>
      </c>
    </row>
    <row r="337" spans="1:9" x14ac:dyDescent="0.25">
      <c r="A337" s="296">
        <v>8901</v>
      </c>
      <c r="B337" s="289" t="s">
        <v>451</v>
      </c>
      <c r="C337" s="282">
        <v>0</v>
      </c>
      <c r="D337" s="282">
        <v>0</v>
      </c>
      <c r="F337" s="284">
        <f t="shared" si="39"/>
        <v>0</v>
      </c>
      <c r="H337" s="286" t="s">
        <v>322</v>
      </c>
    </row>
    <row r="338" spans="1:9" x14ac:dyDescent="0.25">
      <c r="A338" s="280">
        <v>8902</v>
      </c>
      <c r="B338" s="281" t="s">
        <v>109</v>
      </c>
      <c r="C338" s="282">
        <v>0</v>
      </c>
      <c r="D338" s="282">
        <v>75771.66</v>
      </c>
      <c r="E338" s="283">
        <v>-6835</v>
      </c>
      <c r="F338" s="284">
        <f t="shared" si="39"/>
        <v>-82606.66</v>
      </c>
      <c r="H338" s="286" t="s">
        <v>322</v>
      </c>
    </row>
    <row r="339" spans="1:9" x14ac:dyDescent="0.25">
      <c r="A339" s="280">
        <v>8903</v>
      </c>
      <c r="B339" s="281" t="s">
        <v>54</v>
      </c>
      <c r="C339" s="282">
        <v>0</v>
      </c>
      <c r="D339" s="282">
        <v>0</v>
      </c>
      <c r="F339" s="284">
        <f t="shared" si="39"/>
        <v>0</v>
      </c>
      <c r="H339" s="286" t="s">
        <v>322</v>
      </c>
    </row>
    <row r="340" spans="1:9" x14ac:dyDescent="0.25">
      <c r="A340" s="280">
        <v>9000</v>
      </c>
      <c r="B340" s="281" t="s">
        <v>281</v>
      </c>
      <c r="C340" s="282">
        <v>0</v>
      </c>
      <c r="D340" s="282">
        <v>0</v>
      </c>
      <c r="F340" s="284">
        <f t="shared" si="39"/>
        <v>0</v>
      </c>
      <c r="H340" s="286" t="s">
        <v>322</v>
      </c>
    </row>
    <row r="341" spans="1:9" x14ac:dyDescent="0.25">
      <c r="A341" s="280">
        <v>9001</v>
      </c>
      <c r="B341" s="281" t="s">
        <v>163</v>
      </c>
      <c r="C341" s="282">
        <v>0</v>
      </c>
      <c r="D341" s="282">
        <v>0</v>
      </c>
      <c r="F341" s="284">
        <f t="shared" si="39"/>
        <v>0</v>
      </c>
      <c r="H341" s="302" t="s">
        <v>269</v>
      </c>
    </row>
    <row r="342" spans="1:9" x14ac:dyDescent="0.25">
      <c r="A342" s="280">
        <v>9002</v>
      </c>
      <c r="B342" s="281" t="s">
        <v>281</v>
      </c>
      <c r="C342" s="282">
        <v>0</v>
      </c>
      <c r="D342" s="282">
        <v>0</v>
      </c>
      <c r="F342" s="284">
        <f t="shared" si="39"/>
        <v>0</v>
      </c>
      <c r="H342" s="286" t="s">
        <v>322</v>
      </c>
    </row>
    <row r="343" spans="1:9" x14ac:dyDescent="0.25">
      <c r="A343" s="280">
        <v>9100</v>
      </c>
      <c r="B343" s="281" t="s">
        <v>110</v>
      </c>
      <c r="C343" s="282">
        <v>0</v>
      </c>
      <c r="D343" s="282">
        <v>2500</v>
      </c>
      <c r="F343" s="284">
        <f t="shared" si="39"/>
        <v>-2500</v>
      </c>
      <c r="H343" s="286" t="s">
        <v>322</v>
      </c>
    </row>
    <row r="344" spans="1:9" x14ac:dyDescent="0.25">
      <c r="A344" s="280">
        <v>9500</v>
      </c>
      <c r="B344" s="281" t="s">
        <v>111</v>
      </c>
      <c r="C344" s="282">
        <v>0</v>
      </c>
      <c r="D344" s="282">
        <v>35.33</v>
      </c>
      <c r="F344" s="284">
        <f t="shared" si="39"/>
        <v>-35.33</v>
      </c>
      <c r="H344" s="301" t="s">
        <v>259</v>
      </c>
    </row>
    <row r="345" spans="1:9" x14ac:dyDescent="0.25">
      <c r="A345" s="280">
        <v>9998</v>
      </c>
      <c r="B345" s="281" t="s">
        <v>112</v>
      </c>
      <c r="C345" s="282">
        <v>0</v>
      </c>
      <c r="D345" s="282">
        <v>0</v>
      </c>
      <c r="F345" s="284">
        <f t="shared" si="39"/>
        <v>0</v>
      </c>
      <c r="H345" s="317"/>
    </row>
    <row r="346" spans="1:9" ht="16.5" customHeight="1" thickBot="1" x14ac:dyDescent="0.3">
      <c r="A346" s="280">
        <v>9999</v>
      </c>
      <c r="B346" s="281" t="s">
        <v>113</v>
      </c>
      <c r="C346" s="282">
        <v>0</v>
      </c>
      <c r="D346" s="282">
        <v>0</v>
      </c>
      <c r="F346" s="284">
        <f t="shared" si="39"/>
        <v>0</v>
      </c>
      <c r="H346" s="318"/>
    </row>
    <row r="347" spans="1:9" s="324" customFormat="1" ht="13.8" thickBot="1" x14ac:dyDescent="0.3">
      <c r="A347" s="281"/>
      <c r="B347" s="319" t="s">
        <v>114</v>
      </c>
      <c r="C347" s="320">
        <f>SUM(C2:C346)</f>
        <v>3484558.7900000024</v>
      </c>
      <c r="D347" s="320">
        <f>SUM(D2:D346)</f>
        <v>3484558.35</v>
      </c>
      <c r="E347" s="320">
        <f>SUM(E2:E346)</f>
        <v>-2</v>
      </c>
      <c r="F347" s="321">
        <f>SUM(F2:F346)</f>
        <v>-1.5599999999231642</v>
      </c>
      <c r="G347" s="322"/>
      <c r="H347" s="323"/>
    </row>
    <row r="348" spans="1:9" s="324" customFormat="1" x14ac:dyDescent="0.25">
      <c r="A348" s="281"/>
      <c r="B348" s="319" t="s">
        <v>129</v>
      </c>
      <c r="C348" s="320">
        <v>3428678.79</v>
      </c>
      <c r="D348" s="325">
        <v>3428678.79</v>
      </c>
      <c r="E348" s="326">
        <f>C348-D348</f>
        <v>0</v>
      </c>
      <c r="F348" s="327"/>
      <c r="G348" s="328"/>
      <c r="H348" s="323"/>
      <c r="I348" s="320"/>
    </row>
    <row r="349" spans="1:9" s="324" customFormat="1" x14ac:dyDescent="0.25">
      <c r="A349" s="281"/>
      <c r="B349" s="319" t="s">
        <v>332</v>
      </c>
      <c r="C349" s="329">
        <f>C347-C348</f>
        <v>55880.000000002328</v>
      </c>
      <c r="D349" s="325">
        <f>D347-D348</f>
        <v>55879.560000000056</v>
      </c>
      <c r="E349" s="326">
        <f>C349-D349</f>
        <v>0.44000000227242708</v>
      </c>
      <c r="F349" s="327"/>
      <c r="G349" s="328"/>
      <c r="H349" s="323"/>
    </row>
    <row r="350" spans="1:9" x14ac:dyDescent="0.25">
      <c r="I350" s="290"/>
    </row>
    <row r="352" spans="1:9" x14ac:dyDescent="0.25">
      <c r="A352" s="289" t="s">
        <v>175</v>
      </c>
      <c r="F352" s="331"/>
    </row>
    <row r="353" spans="1:10" x14ac:dyDescent="0.25">
      <c r="F353" s="332"/>
      <c r="G353" s="288"/>
    </row>
    <row r="354" spans="1:10" x14ac:dyDescent="0.25">
      <c r="F354" s="332"/>
      <c r="G354" s="288"/>
    </row>
    <row r="355" spans="1:10" x14ac:dyDescent="0.25">
      <c r="C355" s="277"/>
      <c r="D355" s="278"/>
      <c r="F355" s="331"/>
    </row>
    <row r="356" spans="1:10" x14ac:dyDescent="0.25">
      <c r="C356" s="282">
        <f>SUM(C347+C352)</f>
        <v>3484558.7900000024</v>
      </c>
      <c r="D356" s="305">
        <f>D347+D352</f>
        <v>3484558.35</v>
      </c>
      <c r="F356" s="333"/>
      <c r="I356" s="287"/>
    </row>
    <row r="357" spans="1:10" x14ac:dyDescent="0.25">
      <c r="F357" s="331"/>
    </row>
    <row r="358" spans="1:10" x14ac:dyDescent="0.25">
      <c r="A358" s="290"/>
      <c r="B358" s="290"/>
      <c r="C358" s="290"/>
      <c r="D358" s="290"/>
      <c r="E358" s="290"/>
      <c r="F358" s="334"/>
      <c r="G358" s="279"/>
      <c r="H358" s="290"/>
      <c r="J358" s="335"/>
    </row>
    <row r="359" spans="1:10" x14ac:dyDescent="0.25">
      <c r="C359" s="336"/>
      <c r="D359" s="337"/>
      <c r="F359" s="331"/>
    </row>
    <row r="360" spans="1:10" x14ac:dyDescent="0.25">
      <c r="F360" s="331"/>
    </row>
  </sheetData>
  <autoFilter ref="A1:H349" xr:uid="{00000000-0009-0000-0000-000002000000}"/>
  <dataConsolidate/>
  <phoneticPr fontId="25" type="noConversion"/>
  <pageMargins left="0.75" right="0.75" top="1" bottom="1" header="0.5" footer="0.5"/>
  <pageSetup paperSize="9" scale="78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0">
    <tabColor rgb="FFFF0000"/>
    <pageSetUpPr fitToPage="1"/>
  </sheetPr>
  <dimension ref="A1:O142"/>
  <sheetViews>
    <sheetView tabSelected="1" zoomScaleNormal="100" workbookViewId="0">
      <selection activeCell="B1" sqref="B1"/>
    </sheetView>
  </sheetViews>
  <sheetFormatPr defaultColWidth="8.8984375" defaultRowHeight="15.6" x14ac:dyDescent="0.3"/>
  <cols>
    <col min="1" max="1" width="3.09765625" style="3" customWidth="1"/>
    <col min="2" max="2" width="8.09765625" style="3" customWidth="1"/>
    <col min="3" max="3" width="2.59765625" style="3" customWidth="1"/>
    <col min="4" max="4" width="17.09765625" style="3" customWidth="1"/>
    <col min="5" max="5" width="17.09765625" style="4" bestFit="1" customWidth="1"/>
    <col min="6" max="6" width="1.8984375" style="3" customWidth="1"/>
    <col min="7" max="7" width="15.09765625" style="4" customWidth="1"/>
    <col min="8" max="8" width="1.8984375" style="3" customWidth="1"/>
    <col min="9" max="9" width="11.69921875" style="370" bestFit="1" customWidth="1"/>
    <col min="10" max="10" width="1.8984375" style="3" customWidth="1"/>
    <col min="11" max="11" width="14.8984375" style="3" customWidth="1"/>
    <col min="12" max="12" width="1.5" style="3" customWidth="1"/>
    <col min="13" max="13" width="13.5" style="16" customWidth="1"/>
    <col min="14" max="14" width="1.69921875" style="3" customWidth="1"/>
    <col min="15" max="15" width="15" style="252" hidden="1" customWidth="1"/>
    <col min="16" max="16384" width="8.8984375" style="3"/>
  </cols>
  <sheetData>
    <row r="1" spans="1:15" x14ac:dyDescent="0.3">
      <c r="A1" s="18"/>
      <c r="B1" s="18"/>
      <c r="C1" s="18"/>
      <c r="D1" s="18"/>
      <c r="E1" s="65"/>
      <c r="F1" s="18"/>
      <c r="G1" s="65"/>
      <c r="H1" s="18"/>
      <c r="I1" s="65"/>
      <c r="J1" s="18"/>
      <c r="N1" s="234"/>
    </row>
    <row r="2" spans="1:15" ht="22.8" x14ac:dyDescent="0.4">
      <c r="A2" s="96">
        <v>2</v>
      </c>
      <c r="B2" s="14" t="s">
        <v>275</v>
      </c>
      <c r="C2" s="18"/>
      <c r="D2" s="18"/>
      <c r="E2" s="65"/>
      <c r="F2" s="18"/>
      <c r="G2" s="65"/>
      <c r="H2" s="18"/>
      <c r="I2" s="65"/>
      <c r="J2" s="18"/>
      <c r="N2" s="234"/>
    </row>
    <row r="3" spans="1:15" s="6" customFormat="1" ht="13.8" x14ac:dyDescent="0.25">
      <c r="A3" s="20"/>
      <c r="B3" s="16"/>
      <c r="C3" s="16"/>
      <c r="D3" s="16"/>
      <c r="E3" s="17"/>
      <c r="F3" s="16"/>
      <c r="G3" s="17"/>
      <c r="H3" s="16"/>
      <c r="I3" s="17"/>
      <c r="J3" s="16"/>
      <c r="M3" s="16"/>
      <c r="N3" s="103"/>
      <c r="O3" s="17"/>
    </row>
    <row r="4" spans="1:15" s="6" customFormat="1" ht="14.4" thickBot="1" x14ac:dyDescent="0.3">
      <c r="A4" s="16"/>
      <c r="B4" s="16"/>
      <c r="C4" s="16"/>
      <c r="D4" s="16"/>
      <c r="E4" s="17"/>
      <c r="F4" s="16"/>
      <c r="G4" s="17"/>
      <c r="H4" s="16"/>
      <c r="I4" s="17"/>
      <c r="J4" s="16"/>
      <c r="M4" s="16"/>
      <c r="N4" s="103"/>
      <c r="O4" s="17"/>
    </row>
    <row r="5" spans="1:15" s="6" customFormat="1" ht="14.4" thickBot="1" x14ac:dyDescent="0.3">
      <c r="A5" s="33"/>
      <c r="B5" s="33"/>
      <c r="C5" s="33"/>
      <c r="D5" s="33"/>
      <c r="E5" s="358" t="s">
        <v>710</v>
      </c>
      <c r="F5" s="85"/>
      <c r="G5" s="358" t="s">
        <v>709</v>
      </c>
      <c r="H5" s="85"/>
      <c r="I5" s="368" t="s">
        <v>708</v>
      </c>
      <c r="J5" s="85"/>
      <c r="K5" s="360" t="s">
        <v>639</v>
      </c>
      <c r="L5" s="255"/>
      <c r="M5" s="364" t="s">
        <v>560</v>
      </c>
      <c r="N5" s="85"/>
      <c r="O5" s="275" t="s">
        <v>618</v>
      </c>
    </row>
    <row r="6" spans="1:15" s="6" customFormat="1" ht="13.8" x14ac:dyDescent="0.25">
      <c r="A6" s="16"/>
      <c r="B6" s="16"/>
      <c r="C6" s="16"/>
      <c r="D6" s="17"/>
      <c r="E6" s="359" t="s">
        <v>256</v>
      </c>
      <c r="F6" s="84"/>
      <c r="G6" s="359" t="s">
        <v>256</v>
      </c>
      <c r="H6" s="84"/>
      <c r="I6" s="369"/>
      <c r="J6" s="84"/>
      <c r="K6" s="262" t="s">
        <v>256</v>
      </c>
      <c r="L6" s="253"/>
      <c r="M6" s="262" t="s">
        <v>256</v>
      </c>
      <c r="N6" s="233"/>
      <c r="O6" s="262" t="s">
        <v>256</v>
      </c>
    </row>
    <row r="7" spans="1:15" s="6" customFormat="1" ht="14.4" x14ac:dyDescent="0.3">
      <c r="A7" s="26"/>
      <c r="B7" s="16"/>
      <c r="C7" s="16"/>
      <c r="D7" s="17"/>
      <c r="E7" s="273"/>
      <c r="F7" s="38"/>
      <c r="G7" s="273"/>
      <c r="H7" s="38"/>
      <c r="I7" s="273"/>
      <c r="J7" s="38"/>
      <c r="K7" s="263"/>
      <c r="L7" s="23"/>
      <c r="M7" s="365"/>
      <c r="N7" s="38"/>
      <c r="O7" s="273"/>
    </row>
    <row r="8" spans="1:15" s="6" customFormat="1" ht="13.8" x14ac:dyDescent="0.25">
      <c r="A8" s="16" t="s">
        <v>267</v>
      </c>
      <c r="B8" s="16"/>
      <c r="C8" s="16"/>
      <c r="D8" s="16"/>
      <c r="E8" s="273">
        <f>Toelichting_expl!E14</f>
        <v>787449.83998140902</v>
      </c>
      <c r="F8" s="44"/>
      <c r="G8" s="273">
        <f>Toelichting_expl!G14</f>
        <v>773666.73998140905</v>
      </c>
      <c r="H8" s="44"/>
      <c r="I8" s="273">
        <f>Toelichting_expl!I14</f>
        <v>735981</v>
      </c>
      <c r="J8" s="44"/>
      <c r="K8" s="361">
        <v>709905</v>
      </c>
      <c r="L8" s="29"/>
      <c r="M8" s="361">
        <f>Toelichting_expl!M14</f>
        <v>644436.75</v>
      </c>
      <c r="N8" s="44"/>
      <c r="O8" s="273" t="e">
        <f>#REF!-K8</f>
        <v>#REF!</v>
      </c>
    </row>
    <row r="9" spans="1:15" s="6" customFormat="1" ht="13.8" x14ac:dyDescent="0.25">
      <c r="A9" s="16" t="s">
        <v>417</v>
      </c>
      <c r="B9" s="16"/>
      <c r="C9" s="16"/>
      <c r="D9" s="16"/>
      <c r="E9" s="273">
        <f>Toelichting_expl!E20</f>
        <v>242000</v>
      </c>
      <c r="F9" s="44"/>
      <c r="G9" s="273">
        <f>Toelichting_expl!G20</f>
        <v>235480</v>
      </c>
      <c r="H9" s="44"/>
      <c r="I9" s="273">
        <f>Toelichting_expl!I20</f>
        <v>241595</v>
      </c>
      <c r="J9" s="44"/>
      <c r="K9" s="361">
        <v>235480</v>
      </c>
      <c r="L9" s="29"/>
      <c r="M9" s="361">
        <f>Toelichting_expl!M20</f>
        <v>88560</v>
      </c>
      <c r="N9" s="44"/>
      <c r="O9" s="273" t="e">
        <f>#REF!-K9</f>
        <v>#REF!</v>
      </c>
    </row>
    <row r="10" spans="1:15" s="6" customFormat="1" ht="13.8" x14ac:dyDescent="0.25">
      <c r="A10" s="16" t="s">
        <v>622</v>
      </c>
      <c r="B10" s="16"/>
      <c r="C10" s="16"/>
      <c r="D10" s="16"/>
      <c r="E10" s="361">
        <f>Toelichting_expl!E26</f>
        <v>0</v>
      </c>
      <c r="F10" s="44"/>
      <c r="G10" s="273">
        <f>Toelichting_expl!G26</f>
        <v>18031</v>
      </c>
      <c r="H10" s="44"/>
      <c r="I10" s="273">
        <f>Toelichting_expl!I26</f>
        <v>18056</v>
      </c>
      <c r="J10" s="44"/>
      <c r="K10" s="361">
        <v>18031</v>
      </c>
      <c r="L10" s="29"/>
      <c r="M10" s="361">
        <f>Toelichting_expl!M26</f>
        <v>10811</v>
      </c>
      <c r="N10" s="44"/>
      <c r="O10" s="273" t="e">
        <f>#REF!-K10</f>
        <v>#REF!</v>
      </c>
    </row>
    <row r="11" spans="1:15" s="6" customFormat="1" ht="13.8" x14ac:dyDescent="0.25">
      <c r="A11" s="16" t="s">
        <v>666</v>
      </c>
      <c r="B11" s="16"/>
      <c r="C11" s="16"/>
      <c r="D11" s="16"/>
      <c r="E11" s="273">
        <f>Toelichting_expl!E31</f>
        <v>15750</v>
      </c>
      <c r="F11" s="44"/>
      <c r="G11" s="273">
        <f>Toelichting_expl!G31</f>
        <v>15750</v>
      </c>
      <c r="H11" s="44"/>
      <c r="I11" s="273">
        <f>Toelichting_expl!I31</f>
        <v>15694</v>
      </c>
      <c r="J11" s="44"/>
      <c r="K11" s="361">
        <v>16000</v>
      </c>
      <c r="L11" s="29"/>
      <c r="M11" s="361">
        <f>Toelichting_expl!M29</f>
        <v>0</v>
      </c>
      <c r="N11" s="44"/>
      <c r="O11" s="273" t="e">
        <f>#REF!-K11</f>
        <v>#REF!</v>
      </c>
    </row>
    <row r="12" spans="1:15" s="6" customFormat="1" ht="13.8" x14ac:dyDescent="0.25">
      <c r="A12" s="16" t="s">
        <v>507</v>
      </c>
      <c r="B12" s="16"/>
      <c r="C12" s="16"/>
      <c r="D12" s="16"/>
      <c r="E12" s="273">
        <f>Toelichting_expl!E35</f>
        <v>731496</v>
      </c>
      <c r="F12" s="44"/>
      <c r="G12" s="273">
        <f>Toelichting_expl!G35</f>
        <v>758440</v>
      </c>
      <c r="H12" s="44"/>
      <c r="I12" s="273">
        <f>Toelichting_expl!I35</f>
        <v>839999</v>
      </c>
      <c r="J12" s="44"/>
      <c r="K12" s="361">
        <v>846870</v>
      </c>
      <c r="L12" s="29"/>
      <c r="M12" s="361">
        <f>Toelichting_expl!M35</f>
        <v>752384</v>
      </c>
      <c r="N12" s="44"/>
      <c r="O12" s="273" t="e">
        <f>#REF!-K12</f>
        <v>#REF!</v>
      </c>
    </row>
    <row r="13" spans="1:15" s="6" customFormat="1" ht="13.8" x14ac:dyDescent="0.25">
      <c r="A13" s="16" t="s">
        <v>702</v>
      </c>
      <c r="B13" s="16"/>
      <c r="C13" s="16"/>
      <c r="D13" s="16"/>
      <c r="E13" s="273">
        <f>Toelichting_expl!E52</f>
        <v>526395</v>
      </c>
      <c r="F13" s="44"/>
      <c r="G13" s="273">
        <f>Toelichting_expl!G52</f>
        <v>501140</v>
      </c>
      <c r="H13" s="44"/>
      <c r="I13" s="273">
        <f>Toelichting_expl!I52</f>
        <v>487252</v>
      </c>
      <c r="J13" s="44"/>
      <c r="K13" s="361">
        <v>501140</v>
      </c>
      <c r="L13" s="29"/>
      <c r="M13" s="361">
        <f>Toelichting_expl!M52</f>
        <v>469211.48</v>
      </c>
      <c r="N13" s="44"/>
      <c r="O13" s="273" t="e">
        <f>#REF!-K13</f>
        <v>#REF!</v>
      </c>
    </row>
    <row r="14" spans="1:15" s="6" customFormat="1" ht="13.8" x14ac:dyDescent="0.25">
      <c r="A14" s="16" t="s">
        <v>278</v>
      </c>
      <c r="B14" s="16"/>
      <c r="C14" s="16"/>
      <c r="D14" s="16"/>
      <c r="E14" s="273">
        <f>Toelichting_expl!E58</f>
        <v>268450</v>
      </c>
      <c r="F14" s="44"/>
      <c r="G14" s="273">
        <f>Toelichting_expl!G58</f>
        <v>246900</v>
      </c>
      <c r="H14" s="44"/>
      <c r="I14" s="273">
        <f>Toelichting_expl!I58</f>
        <v>235315</v>
      </c>
      <c r="J14" s="44"/>
      <c r="K14" s="361">
        <v>221250</v>
      </c>
      <c r="L14" s="29"/>
      <c r="M14" s="361">
        <f>Toelichting_expl!M58</f>
        <v>189434</v>
      </c>
      <c r="N14" s="44"/>
      <c r="O14" s="273" t="e">
        <f>#REF!-K14</f>
        <v>#REF!</v>
      </c>
    </row>
    <row r="15" spans="1:15" s="6" customFormat="1" ht="13.8" x14ac:dyDescent="0.25">
      <c r="A15" s="16" t="s">
        <v>280</v>
      </c>
      <c r="B15" s="23"/>
      <c r="C15" s="23"/>
      <c r="D15" s="23"/>
      <c r="E15" s="273">
        <f>Toelichting_expl!E64</f>
        <v>142200</v>
      </c>
      <c r="F15" s="44"/>
      <c r="G15" s="273">
        <f>Toelichting_expl!G64</f>
        <v>156400</v>
      </c>
      <c r="H15" s="44"/>
      <c r="I15" s="273">
        <f>Toelichting_expl!I64</f>
        <v>150235</v>
      </c>
      <c r="J15" s="44"/>
      <c r="K15" s="361">
        <v>153435</v>
      </c>
      <c r="L15" s="29"/>
      <c r="M15" s="361">
        <f>Toelichting_expl!M64</f>
        <v>137380</v>
      </c>
      <c r="N15" s="44"/>
      <c r="O15" s="273" t="e">
        <f>#REF!-K15</f>
        <v>#REF!</v>
      </c>
    </row>
    <row r="16" spans="1:15" s="6" customFormat="1" ht="13.8" x14ac:dyDescent="0.25">
      <c r="A16" s="16" t="s">
        <v>392</v>
      </c>
      <c r="B16" s="23"/>
      <c r="C16" s="23"/>
      <c r="D16" s="23"/>
      <c r="E16" s="273">
        <f>Toelichting_expl!E70</f>
        <v>69045</v>
      </c>
      <c r="F16" s="44"/>
      <c r="G16" s="273">
        <f>Toelichting_expl!G70</f>
        <v>59200</v>
      </c>
      <c r="H16" s="44"/>
      <c r="I16" s="273">
        <f>Toelichting_expl!I70</f>
        <v>50656</v>
      </c>
      <c r="J16" s="44"/>
      <c r="K16" s="361">
        <v>59200</v>
      </c>
      <c r="L16" s="29"/>
      <c r="M16" s="361">
        <f>Toelichting_expl!M70</f>
        <v>55784</v>
      </c>
      <c r="N16" s="44"/>
      <c r="O16" s="273" t="e">
        <f>#REF!-K16</f>
        <v>#REF!</v>
      </c>
    </row>
    <row r="17" spans="1:15" ht="15" x14ac:dyDescent="0.25">
      <c r="A17" s="35" t="s">
        <v>281</v>
      </c>
      <c r="B17" s="16"/>
      <c r="C17" s="16"/>
      <c r="D17" s="16"/>
      <c r="E17" s="274">
        <f>Toelichting_expl!E83</f>
        <v>147630</v>
      </c>
      <c r="F17" s="44"/>
      <c r="G17" s="274">
        <f>Toelichting_expl!G83</f>
        <v>153660</v>
      </c>
      <c r="H17" s="44"/>
      <c r="I17" s="274">
        <f>Toelichting_expl!I83</f>
        <v>140660</v>
      </c>
      <c r="J17" s="44"/>
      <c r="K17" s="362">
        <v>166664</v>
      </c>
      <c r="L17" s="29"/>
      <c r="M17" s="362">
        <f>Toelichting_expl!M83+0.3</f>
        <v>146023.47</v>
      </c>
      <c r="N17" s="236"/>
      <c r="O17" s="274" t="e">
        <f>#REF!-K17</f>
        <v>#REF!</v>
      </c>
    </row>
    <row r="18" spans="1:15" s="6" customFormat="1" ht="13.8" x14ac:dyDescent="0.25">
      <c r="A18" s="36" t="s">
        <v>223</v>
      </c>
      <c r="B18" s="16"/>
      <c r="C18" s="16"/>
      <c r="D18" s="16"/>
      <c r="E18" s="273">
        <f>SUM(E8:E17)</f>
        <v>2930415.8399814088</v>
      </c>
      <c r="F18" s="44"/>
      <c r="G18" s="273">
        <f>SUM(G8:G17)</f>
        <v>2918667.7399814092</v>
      </c>
      <c r="H18" s="44"/>
      <c r="I18" s="273">
        <f>SUM(I8:I17)</f>
        <v>2915443</v>
      </c>
      <c r="J18" s="44"/>
      <c r="K18" s="361">
        <f>SUM(K8:K17)</f>
        <v>2927975</v>
      </c>
      <c r="L18" s="29"/>
      <c r="M18" s="361">
        <f>SUM(M8:M17)</f>
        <v>2494024.7000000002</v>
      </c>
      <c r="N18" s="44"/>
      <c r="O18" s="273" t="e">
        <f>SUM(O8:O17)</f>
        <v>#REF!</v>
      </c>
    </row>
    <row r="19" spans="1:15" s="6" customFormat="1" ht="13.8" x14ac:dyDescent="0.25">
      <c r="A19" s="16"/>
      <c r="B19" s="24"/>
      <c r="C19" s="25"/>
      <c r="D19" s="23"/>
      <c r="E19" s="352"/>
      <c r="F19" s="49"/>
      <c r="G19" s="352"/>
      <c r="H19" s="49"/>
      <c r="I19" s="352"/>
      <c r="J19" s="49"/>
      <c r="K19" s="361"/>
      <c r="L19" s="29"/>
      <c r="M19" s="361"/>
      <c r="N19" s="42"/>
      <c r="O19" s="273"/>
    </row>
    <row r="20" spans="1:15" s="6" customFormat="1" ht="13.8" x14ac:dyDescent="0.25">
      <c r="A20" s="16" t="s">
        <v>268</v>
      </c>
      <c r="B20" s="24"/>
      <c r="C20" s="25"/>
      <c r="D20" s="23"/>
      <c r="E20" s="352">
        <f>Toelichting_expl!E105</f>
        <v>338000</v>
      </c>
      <c r="F20" s="50"/>
      <c r="G20" s="352">
        <f>Toelichting_expl!G105</f>
        <v>350000</v>
      </c>
      <c r="H20" s="50"/>
      <c r="I20" s="352">
        <f>Toelichting_expl!I105</f>
        <v>302355.19999999995</v>
      </c>
      <c r="J20" s="50"/>
      <c r="K20" s="361">
        <v>313335</v>
      </c>
      <c r="L20" s="29"/>
      <c r="M20" s="361">
        <f>Toelichting_expl!M105</f>
        <v>315768.16000000003</v>
      </c>
      <c r="N20" s="44"/>
      <c r="O20" s="273" t="e">
        <f>#REF!-K20</f>
        <v>#REF!</v>
      </c>
    </row>
    <row r="21" spans="1:15" s="6" customFormat="1" ht="13.8" x14ac:dyDescent="0.25">
      <c r="A21" s="16" t="s">
        <v>266</v>
      </c>
      <c r="B21" s="24"/>
      <c r="C21" s="25"/>
      <c r="D21" s="23"/>
      <c r="E21" s="352">
        <f>Toelichting_expl!E109</f>
        <v>30000</v>
      </c>
      <c r="F21" s="50"/>
      <c r="G21" s="352">
        <f>Toelichting_expl!G109</f>
        <v>30000</v>
      </c>
      <c r="H21" s="50"/>
      <c r="I21" s="352">
        <f>Toelichting_expl!I109</f>
        <v>30000</v>
      </c>
      <c r="J21" s="50"/>
      <c r="K21" s="361">
        <v>40000</v>
      </c>
      <c r="L21" s="29"/>
      <c r="M21" s="361">
        <f>Toelichting_expl!M109</f>
        <v>33757</v>
      </c>
      <c r="N21" s="44"/>
      <c r="O21" s="273" t="e">
        <f>#REF!-K21</f>
        <v>#REF!</v>
      </c>
    </row>
    <row r="22" spans="1:15" s="6" customFormat="1" ht="13.8" x14ac:dyDescent="0.25">
      <c r="A22" s="16" t="s">
        <v>300</v>
      </c>
      <c r="B22" s="24"/>
      <c r="C22" s="25"/>
      <c r="D22" s="23"/>
      <c r="E22" s="352">
        <f>Toelichting_expl!E116</f>
        <v>23375</v>
      </c>
      <c r="F22" s="50"/>
      <c r="G22" s="352">
        <f>Toelichting_expl!G116</f>
        <v>19877</v>
      </c>
      <c r="H22" s="50"/>
      <c r="I22" s="352">
        <f>Toelichting_expl!I116</f>
        <v>23375</v>
      </c>
      <c r="J22" s="50"/>
      <c r="K22" s="361">
        <v>19877</v>
      </c>
      <c r="L22" s="29"/>
      <c r="M22" s="361">
        <f>Toelichting_expl!M116</f>
        <v>18634</v>
      </c>
      <c r="N22" s="44"/>
      <c r="O22" s="273" t="e">
        <f>#REF!-K22</f>
        <v>#REF!</v>
      </c>
    </row>
    <row r="23" spans="1:15" s="6" customFormat="1" ht="13.8" x14ac:dyDescent="0.25">
      <c r="A23" s="16" t="s">
        <v>301</v>
      </c>
      <c r="B23" s="24"/>
      <c r="C23" s="25"/>
      <c r="D23" s="23"/>
      <c r="E23" s="352">
        <f>Toelichting_expl!E124</f>
        <v>277710</v>
      </c>
      <c r="F23" s="50"/>
      <c r="G23" s="352">
        <f>Toelichting_expl!G124</f>
        <v>284500</v>
      </c>
      <c r="H23" s="50"/>
      <c r="I23" s="352">
        <f>Toelichting_expl!I124</f>
        <v>272270</v>
      </c>
      <c r="J23" s="50"/>
      <c r="K23" s="361">
        <v>286785</v>
      </c>
      <c r="L23" s="29"/>
      <c r="M23" s="361">
        <f>Toelichting_expl!M124</f>
        <v>302974</v>
      </c>
      <c r="N23" s="44"/>
      <c r="O23" s="273" t="e">
        <f>#REF!-K23</f>
        <v>#REF!</v>
      </c>
    </row>
    <row r="24" spans="1:15" s="6" customFormat="1" ht="13.8" x14ac:dyDescent="0.25">
      <c r="A24" s="16" t="s">
        <v>302</v>
      </c>
      <c r="B24" s="24"/>
      <c r="C24" s="25"/>
      <c r="D24" s="23"/>
      <c r="E24" s="352">
        <f>Toelichting_expl!E132</f>
        <v>98125</v>
      </c>
      <c r="F24" s="50"/>
      <c r="G24" s="352">
        <f>Toelichting_expl!G132</f>
        <v>96500</v>
      </c>
      <c r="H24" s="50"/>
      <c r="I24" s="352">
        <f>Toelichting_expl!I132</f>
        <v>100800</v>
      </c>
      <c r="J24" s="50"/>
      <c r="K24" s="361">
        <v>102500</v>
      </c>
      <c r="L24" s="29"/>
      <c r="M24" s="361">
        <f>Toelichting_expl!M132</f>
        <v>52223</v>
      </c>
      <c r="N24" s="44"/>
      <c r="O24" s="273" t="e">
        <f>#REF!-K24</f>
        <v>#REF!</v>
      </c>
    </row>
    <row r="25" spans="1:15" s="6" customFormat="1" ht="13.8" x14ac:dyDescent="0.25">
      <c r="A25" s="16" t="s">
        <v>269</v>
      </c>
      <c r="B25" s="24"/>
      <c r="C25" s="25"/>
      <c r="D25" s="23"/>
      <c r="E25" s="352">
        <f>Toelichting_expl!E142</f>
        <v>57000</v>
      </c>
      <c r="F25" s="50"/>
      <c r="G25" s="352">
        <f>Toelichting_expl!G142</f>
        <v>56000</v>
      </c>
      <c r="H25" s="50"/>
      <c r="I25" s="352">
        <f>Toelichting_expl!I142</f>
        <v>99274</v>
      </c>
      <c r="J25" s="50"/>
      <c r="K25" s="361">
        <v>56000</v>
      </c>
      <c r="L25" s="29"/>
      <c r="M25" s="361">
        <f>Toelichting_expl!M142</f>
        <v>62252</v>
      </c>
      <c r="N25" s="44"/>
      <c r="O25" s="273" t="e">
        <f>#REF!-K25</f>
        <v>#REF!</v>
      </c>
    </row>
    <row r="26" spans="1:15" ht="15" x14ac:dyDescent="0.25">
      <c r="A26" s="27" t="s">
        <v>565</v>
      </c>
      <c r="B26" s="27"/>
      <c r="C26" s="27"/>
      <c r="D26" s="27"/>
      <c r="E26" s="352">
        <f>Toelichting_expl!E164</f>
        <v>863203</v>
      </c>
      <c r="F26" s="50"/>
      <c r="G26" s="352">
        <f>Toelichting_expl!G164</f>
        <v>873425</v>
      </c>
      <c r="H26" s="50"/>
      <c r="I26" s="352">
        <f>Toelichting_expl!I164</f>
        <v>890975</v>
      </c>
      <c r="J26" s="50"/>
      <c r="K26" s="361">
        <v>915855</v>
      </c>
      <c r="L26" s="29"/>
      <c r="M26" s="361">
        <f>Toelichting_expl!M164</f>
        <v>909709.5</v>
      </c>
      <c r="N26" s="44"/>
      <c r="O26" s="273" t="e">
        <f>#REF!-K26</f>
        <v>#REF!</v>
      </c>
    </row>
    <row r="27" spans="1:15" ht="15" x14ac:dyDescent="0.25">
      <c r="A27" s="27" t="s">
        <v>572</v>
      </c>
      <c r="B27" s="27"/>
      <c r="C27" s="27"/>
      <c r="D27" s="27"/>
      <c r="E27" s="352">
        <f>Toelichting_expl!E173</f>
        <v>312614</v>
      </c>
      <c r="F27" s="50"/>
      <c r="G27" s="352">
        <f>Toelichting_expl!G173</f>
        <v>281930</v>
      </c>
      <c r="H27" s="50"/>
      <c r="I27" s="352">
        <f>Toelichting_expl!I173</f>
        <v>321640</v>
      </c>
      <c r="J27" s="50"/>
      <c r="K27" s="361">
        <v>315480</v>
      </c>
      <c r="L27" s="29"/>
      <c r="M27" s="361">
        <f>Toelichting_expl!M173</f>
        <v>255347.69</v>
      </c>
      <c r="N27" s="44"/>
      <c r="O27" s="273" t="e">
        <f>#REF!-K27</f>
        <v>#REF!</v>
      </c>
    </row>
    <row r="28" spans="1:15" s="6" customFormat="1" ht="13.8" x14ac:dyDescent="0.25">
      <c r="A28" s="16" t="s">
        <v>303</v>
      </c>
      <c r="B28" s="16"/>
      <c r="C28" s="16"/>
      <c r="D28" s="16"/>
      <c r="E28" s="352">
        <f>Toelichting_expl!E188</f>
        <v>365237</v>
      </c>
      <c r="F28" s="50"/>
      <c r="G28" s="352">
        <f>Toelichting_expl!G188</f>
        <v>337760</v>
      </c>
      <c r="H28" s="50"/>
      <c r="I28" s="352">
        <f>Toelichting_expl!I188</f>
        <v>335440</v>
      </c>
      <c r="J28" s="50"/>
      <c r="K28" s="361">
        <v>342760</v>
      </c>
      <c r="L28" s="29"/>
      <c r="M28" s="361">
        <f>Toelichting_expl!M188</f>
        <v>342901.02</v>
      </c>
      <c r="N28" s="44"/>
      <c r="O28" s="273" t="e">
        <f>#REF!-K28</f>
        <v>#REF!</v>
      </c>
    </row>
    <row r="29" spans="1:15" s="6" customFormat="1" ht="13.8" x14ac:dyDescent="0.25">
      <c r="A29" s="16" t="s">
        <v>304</v>
      </c>
      <c r="B29" s="23"/>
      <c r="C29" s="23"/>
      <c r="D29" s="23"/>
      <c r="E29" s="352">
        <f>Toelichting_expl!E195</f>
        <v>116750</v>
      </c>
      <c r="F29" s="50"/>
      <c r="G29" s="352">
        <f>Toelichting_expl!G195</f>
        <v>92500</v>
      </c>
      <c r="H29" s="50"/>
      <c r="I29" s="352">
        <f>Toelichting_expl!I195</f>
        <v>94000</v>
      </c>
      <c r="J29" s="50"/>
      <c r="K29" s="361">
        <v>92500</v>
      </c>
      <c r="L29" s="29"/>
      <c r="M29" s="361">
        <f>Toelichting_expl!M195</f>
        <v>71267</v>
      </c>
      <c r="N29" s="44"/>
      <c r="O29" s="273" t="e">
        <f>#REF!-K29</f>
        <v>#REF!</v>
      </c>
    </row>
    <row r="30" spans="1:15" s="6" customFormat="1" ht="13.8" x14ac:dyDescent="0.25">
      <c r="A30" s="16" t="s">
        <v>417</v>
      </c>
      <c r="B30" s="23"/>
      <c r="C30" s="23"/>
      <c r="D30" s="23"/>
      <c r="E30" s="352">
        <f>Toelichting_expl!E203</f>
        <v>260200</v>
      </c>
      <c r="F30" s="50"/>
      <c r="G30" s="352">
        <f>Toelichting_expl!G203</f>
        <v>254650</v>
      </c>
      <c r="H30" s="50"/>
      <c r="I30" s="352">
        <f>Toelichting_expl!I203</f>
        <v>253549</v>
      </c>
      <c r="J30" s="50"/>
      <c r="K30" s="361">
        <v>254650</v>
      </c>
      <c r="L30" s="29"/>
      <c r="M30" s="361">
        <f>Toelichting_expl!M203</f>
        <v>97693.2</v>
      </c>
      <c r="N30" s="44"/>
      <c r="O30" s="273" t="e">
        <f>#REF!-K30</f>
        <v>#REF!</v>
      </c>
    </row>
    <row r="31" spans="1:15" s="6" customFormat="1" ht="13.8" x14ac:dyDescent="0.25">
      <c r="A31" s="16" t="s">
        <v>622</v>
      </c>
      <c r="B31" s="23"/>
      <c r="C31" s="23"/>
      <c r="D31" s="23"/>
      <c r="E31" s="361">
        <f>Toelichting_expl!E209</f>
        <v>0</v>
      </c>
      <c r="F31" s="50"/>
      <c r="G31" s="352">
        <f>Toelichting_expl!G209</f>
        <v>32150</v>
      </c>
      <c r="H31" s="50"/>
      <c r="I31" s="352">
        <f>Toelichting_expl!I209</f>
        <v>33175</v>
      </c>
      <c r="J31" s="50"/>
      <c r="K31" s="361">
        <v>32150</v>
      </c>
      <c r="L31" s="29"/>
      <c r="M31" s="361">
        <f>Toelichting_expl!M209+0.3</f>
        <v>27764.3</v>
      </c>
      <c r="N31" s="44"/>
      <c r="O31" s="273" t="e">
        <f>#REF!-K31</f>
        <v>#REF!</v>
      </c>
    </row>
    <row r="32" spans="1:15" s="6" customFormat="1" ht="13.8" x14ac:dyDescent="0.25">
      <c r="A32" s="16" t="s">
        <v>667</v>
      </c>
      <c r="B32" s="23"/>
      <c r="C32" s="23"/>
      <c r="D32" s="23"/>
      <c r="E32" s="352">
        <f>Toelichting_expl!E216</f>
        <v>25500</v>
      </c>
      <c r="F32" s="50"/>
      <c r="G32" s="352">
        <f>Toelichting_expl!G216</f>
        <v>26000</v>
      </c>
      <c r="H32" s="50"/>
      <c r="I32" s="352">
        <f>Toelichting_expl!I216</f>
        <v>25370</v>
      </c>
      <c r="J32" s="50"/>
      <c r="K32" s="361">
        <v>26000</v>
      </c>
      <c r="L32" s="29"/>
      <c r="M32" s="361">
        <f>Toelichting_expl!M216</f>
        <v>0</v>
      </c>
      <c r="N32" s="44"/>
      <c r="O32" s="273" t="e">
        <f>#REF!-K32</f>
        <v>#REF!</v>
      </c>
    </row>
    <row r="33" spans="1:15" s="6" customFormat="1" ht="13.8" x14ac:dyDescent="0.25">
      <c r="A33" s="16" t="s">
        <v>305</v>
      </c>
      <c r="B33" s="23"/>
      <c r="C33" s="23"/>
      <c r="D33" s="23"/>
      <c r="E33" s="352">
        <f>Toelichting_expl!E223</f>
        <v>104500</v>
      </c>
      <c r="F33" s="50"/>
      <c r="G33" s="352">
        <f>Toelichting_expl!G223</f>
        <v>107320</v>
      </c>
      <c r="H33" s="50"/>
      <c r="I33" s="352">
        <f>Toelichting_expl!I223</f>
        <v>92755</v>
      </c>
      <c r="J33" s="50"/>
      <c r="K33" s="361">
        <v>107320</v>
      </c>
      <c r="L33" s="29"/>
      <c r="M33" s="361">
        <f>Toelichting_expl!M223+0.3</f>
        <v>62384.66</v>
      </c>
      <c r="N33" s="44"/>
      <c r="O33" s="273" t="e">
        <f>#REF!-K33</f>
        <v>#REF!</v>
      </c>
    </row>
    <row r="34" spans="1:15" s="6" customFormat="1" ht="13.8" x14ac:dyDescent="0.25">
      <c r="A34" s="16" t="s">
        <v>90</v>
      </c>
      <c r="B34" s="23"/>
      <c r="C34" s="23"/>
      <c r="D34" s="23"/>
      <c r="E34" s="352">
        <f>Toelichting_expl!E226</f>
        <v>10000</v>
      </c>
      <c r="F34" s="50"/>
      <c r="G34" s="352">
        <f>Toelichting_expl!G226</f>
        <v>10000</v>
      </c>
      <c r="H34" s="50"/>
      <c r="I34" s="352">
        <f>Toelichting_expl!I226</f>
        <v>10000</v>
      </c>
      <c r="J34" s="50"/>
      <c r="K34" s="361">
        <v>10000</v>
      </c>
      <c r="L34" s="29"/>
      <c r="M34" s="361">
        <v>0</v>
      </c>
      <c r="N34" s="44"/>
      <c r="O34" s="273" t="e">
        <f>#REF!-K34</f>
        <v>#REF!</v>
      </c>
    </row>
    <row r="35" spans="1:15" s="6" customFormat="1" ht="14.25" customHeight="1" x14ac:dyDescent="0.25">
      <c r="A35" s="16"/>
      <c r="B35" s="23"/>
      <c r="C35" s="23"/>
      <c r="D35" s="23"/>
      <c r="E35" s="353"/>
      <c r="F35" s="50"/>
      <c r="G35" s="353"/>
      <c r="H35" s="50"/>
      <c r="I35" s="353"/>
      <c r="J35" s="50"/>
      <c r="K35" s="362"/>
      <c r="L35" s="29"/>
      <c r="M35" s="362"/>
      <c r="N35" s="236"/>
      <c r="O35" s="274"/>
    </row>
    <row r="36" spans="1:15" s="6" customFormat="1" ht="13.8" x14ac:dyDescent="0.25">
      <c r="A36" s="15" t="s">
        <v>225</v>
      </c>
      <c r="B36" s="23"/>
      <c r="C36" s="23"/>
      <c r="D36" s="23"/>
      <c r="E36" s="352">
        <f>SUM(E20:E35)</f>
        <v>2882214</v>
      </c>
      <c r="F36" s="50"/>
      <c r="G36" s="352">
        <f>SUM(G20:G35)</f>
        <v>2852612</v>
      </c>
      <c r="H36" s="50"/>
      <c r="I36" s="352">
        <f>SUM(I20:I35)-0.6</f>
        <v>2884977.6</v>
      </c>
      <c r="J36" s="50"/>
      <c r="K36" s="361">
        <f>SUM(K20:K35)</f>
        <v>2915212</v>
      </c>
      <c r="L36" s="29"/>
      <c r="M36" s="361">
        <f>SUM(M20:M35)</f>
        <v>2552675.5300000003</v>
      </c>
      <c r="N36" s="50"/>
      <c r="O36" s="273" t="e">
        <f>#REF!-K36</f>
        <v>#REF!</v>
      </c>
    </row>
    <row r="37" spans="1:15" s="6" customFormat="1" ht="13.8" x14ac:dyDescent="0.25">
      <c r="A37" s="16"/>
      <c r="B37" s="23"/>
      <c r="C37" s="23"/>
      <c r="D37" s="23"/>
      <c r="E37" s="352"/>
      <c r="F37" s="50"/>
      <c r="G37" s="352"/>
      <c r="H37" s="50"/>
      <c r="I37" s="352"/>
      <c r="J37" s="50"/>
      <c r="K37" s="361"/>
      <c r="L37" s="29"/>
      <c r="M37" s="361"/>
      <c r="N37" s="44"/>
      <c r="O37" s="273"/>
    </row>
    <row r="38" spans="1:15" s="6" customFormat="1" ht="13.8" x14ac:dyDescent="0.25">
      <c r="A38" s="15" t="s">
        <v>307</v>
      </c>
      <c r="B38" s="23"/>
      <c r="C38" s="23"/>
      <c r="D38" s="28"/>
      <c r="E38" s="352">
        <f>E18-E36</f>
        <v>48201.83998140879</v>
      </c>
      <c r="F38" s="50"/>
      <c r="G38" s="352">
        <f>G18-G36</f>
        <v>66055.739981409162</v>
      </c>
      <c r="H38" s="50"/>
      <c r="I38" s="352">
        <f>I18-I36</f>
        <v>30465.399999999907</v>
      </c>
      <c r="J38" s="50"/>
      <c r="K38" s="361">
        <f>K18-K36</f>
        <v>12763</v>
      </c>
      <c r="L38" s="29"/>
      <c r="M38" s="361">
        <f>M18-M36</f>
        <v>-58650.830000000075</v>
      </c>
      <c r="N38" s="50"/>
      <c r="O38" s="273" t="e">
        <f>#REF!-K38</f>
        <v>#REF!</v>
      </c>
    </row>
    <row r="39" spans="1:15" s="6" customFormat="1" ht="13.8" x14ac:dyDescent="0.25">
      <c r="A39" s="15"/>
      <c r="B39" s="23"/>
      <c r="C39" s="23"/>
      <c r="D39" s="28"/>
      <c r="E39" s="352"/>
      <c r="F39" s="50"/>
      <c r="G39" s="352"/>
      <c r="H39" s="50"/>
      <c r="I39" s="352"/>
      <c r="J39" s="50"/>
      <c r="K39" s="361"/>
      <c r="L39" s="29"/>
      <c r="M39" s="361"/>
      <c r="N39" s="50"/>
      <c r="O39" s="273"/>
    </row>
    <row r="40" spans="1:15" s="6" customFormat="1" ht="13.8" x14ac:dyDescent="0.25">
      <c r="A40" s="15" t="s">
        <v>308</v>
      </c>
      <c r="B40" s="23"/>
      <c r="C40" s="23"/>
      <c r="D40" s="28"/>
      <c r="E40" s="353">
        <f>Toelichting_expl!E231</f>
        <v>-2300</v>
      </c>
      <c r="F40" s="50"/>
      <c r="G40" s="353">
        <f>Toelichting_expl!G231</f>
        <v>-2300</v>
      </c>
      <c r="H40" s="50"/>
      <c r="I40" s="353">
        <f>Toelichting_expl!I231</f>
        <v>-2300</v>
      </c>
      <c r="J40" s="50"/>
      <c r="K40" s="362">
        <v>-2300</v>
      </c>
      <c r="L40" s="29"/>
      <c r="M40" s="362">
        <f>Toelichting_expl!M231</f>
        <v>-2495</v>
      </c>
      <c r="N40" s="236"/>
      <c r="O40" s="274" t="e">
        <f>#REF!-K40</f>
        <v>#REF!</v>
      </c>
    </row>
    <row r="41" spans="1:15" s="6" customFormat="1" ht="13.8" x14ac:dyDescent="0.25">
      <c r="A41" s="16"/>
      <c r="B41" s="23"/>
      <c r="C41" s="23"/>
      <c r="D41" s="28"/>
      <c r="E41" s="352"/>
      <c r="F41" s="50"/>
      <c r="G41" s="352"/>
      <c r="H41" s="50"/>
      <c r="I41" s="352"/>
      <c r="J41" s="50"/>
      <c r="K41" s="361"/>
      <c r="L41" s="29"/>
      <c r="M41" s="361"/>
      <c r="N41" s="44"/>
      <c r="O41" s="273"/>
    </row>
    <row r="42" spans="1:15" s="6" customFormat="1" ht="14.4" thickBot="1" x14ac:dyDescent="0.3">
      <c r="A42" s="15" t="s">
        <v>309</v>
      </c>
      <c r="B42" s="23"/>
      <c r="C42" s="23"/>
      <c r="D42" s="28"/>
      <c r="E42" s="354">
        <f>SUM(E38:E40)</f>
        <v>45901.83998140879</v>
      </c>
      <c r="F42" s="50"/>
      <c r="G42" s="354">
        <f>SUM(G38:G40)</f>
        <v>63755.739981409162</v>
      </c>
      <c r="H42" s="50"/>
      <c r="I42" s="354">
        <f>SUM(I38:I40)</f>
        <v>28165.399999999907</v>
      </c>
      <c r="J42" s="50"/>
      <c r="K42" s="363">
        <f>K38+K40</f>
        <v>10463</v>
      </c>
      <c r="L42" s="49"/>
      <c r="M42" s="363">
        <f>SUM(M38:M40)</f>
        <v>-61145.830000000075</v>
      </c>
      <c r="N42" s="50"/>
      <c r="O42" s="347" t="e">
        <f>#REF!-K42</f>
        <v>#REF!</v>
      </c>
    </row>
    <row r="43" spans="1:15" s="6" customFormat="1" ht="13.8" x14ac:dyDescent="0.25">
      <c r="A43" s="16"/>
      <c r="B43" s="23"/>
      <c r="C43" s="23"/>
      <c r="D43" s="28"/>
      <c r="E43" s="29"/>
      <c r="F43" s="23"/>
      <c r="G43" s="29"/>
      <c r="H43" s="23"/>
      <c r="I43" s="29"/>
      <c r="J43" s="23"/>
      <c r="M43" s="16"/>
      <c r="O43" s="17"/>
    </row>
    <row r="44" spans="1:15" s="6" customFormat="1" ht="13.8" x14ac:dyDescent="0.25">
      <c r="A44" s="24"/>
      <c r="B44" s="23"/>
      <c r="C44" s="23"/>
      <c r="D44" s="23"/>
      <c r="E44" s="29"/>
      <c r="F44" s="23"/>
      <c r="G44" s="29"/>
      <c r="H44" s="23"/>
      <c r="I44" s="29"/>
      <c r="J44" s="23"/>
      <c r="M44" s="16"/>
      <c r="N44" s="103"/>
      <c r="O44" s="17"/>
    </row>
    <row r="45" spans="1:15" s="6" customFormat="1" ht="16.2" x14ac:dyDescent="0.35">
      <c r="A45" s="21"/>
      <c r="B45" s="16"/>
      <c r="C45" s="16"/>
      <c r="D45" s="16"/>
      <c r="E45" s="17"/>
      <c r="F45" s="16"/>
      <c r="G45" s="17"/>
      <c r="H45" s="16"/>
      <c r="I45" s="49"/>
      <c r="J45" s="16"/>
      <c r="M45" s="16"/>
      <c r="N45" s="103"/>
      <c r="O45" s="17"/>
    </row>
    <row r="46" spans="1:15" s="6" customFormat="1" ht="13.8" x14ac:dyDescent="0.25">
      <c r="A46" s="22"/>
      <c r="B46" s="23"/>
      <c r="C46" s="23"/>
      <c r="D46" s="23"/>
      <c r="E46" s="29"/>
      <c r="F46" s="23"/>
      <c r="G46" s="29"/>
      <c r="H46" s="23"/>
      <c r="I46" s="49"/>
      <c r="J46" s="23"/>
      <c r="M46" s="16"/>
      <c r="N46" s="103"/>
      <c r="O46" s="17"/>
    </row>
    <row r="47" spans="1:15" s="6" customFormat="1" ht="13.8" x14ac:dyDescent="0.25">
      <c r="A47" s="23"/>
      <c r="B47" s="23"/>
      <c r="C47" s="23"/>
      <c r="D47" s="23"/>
      <c r="E47" s="29"/>
      <c r="F47" s="23"/>
      <c r="G47" s="29"/>
      <c r="H47" s="23"/>
      <c r="I47" s="49"/>
      <c r="J47" s="23"/>
      <c r="M47" s="16"/>
      <c r="N47" s="103"/>
      <c r="O47" s="17"/>
    </row>
    <row r="48" spans="1:15" s="6" customFormat="1" ht="13.8" x14ac:dyDescent="0.25">
      <c r="A48" s="23"/>
      <c r="B48" s="23"/>
      <c r="C48" s="23"/>
      <c r="D48" s="23"/>
      <c r="E48" s="29"/>
      <c r="F48" s="23"/>
      <c r="G48" s="29"/>
      <c r="H48" s="23"/>
      <c r="I48" s="29"/>
      <c r="J48" s="23"/>
      <c r="M48" s="16"/>
      <c r="N48" s="103"/>
      <c r="O48" s="17"/>
    </row>
    <row r="49" spans="1:15" s="6" customFormat="1" ht="13.8" x14ac:dyDescent="0.25">
      <c r="A49" s="9"/>
      <c r="B49" s="9"/>
      <c r="C49" s="9"/>
      <c r="D49" s="9"/>
      <c r="E49" s="12"/>
      <c r="F49" s="9"/>
      <c r="G49" s="12"/>
      <c r="H49" s="9"/>
      <c r="I49" s="29"/>
      <c r="J49" s="9"/>
      <c r="M49" s="16"/>
      <c r="N49" s="103"/>
      <c r="O49" s="17"/>
    </row>
    <row r="50" spans="1:15" s="6" customFormat="1" ht="13.8" x14ac:dyDescent="0.25">
      <c r="A50" s="9"/>
      <c r="B50" s="9"/>
      <c r="C50" s="9"/>
      <c r="D50" s="9"/>
      <c r="E50" s="12"/>
      <c r="F50" s="9"/>
      <c r="G50" s="12"/>
      <c r="H50" s="9"/>
      <c r="I50" s="29"/>
      <c r="J50" s="9"/>
      <c r="M50" s="16"/>
      <c r="N50" s="103"/>
      <c r="O50" s="17"/>
    </row>
    <row r="51" spans="1:15" s="6" customFormat="1" ht="13.8" x14ac:dyDescent="0.25">
      <c r="B51" s="9"/>
      <c r="C51" s="9"/>
      <c r="D51" s="9"/>
      <c r="E51" s="12"/>
      <c r="F51" s="9"/>
      <c r="G51" s="12"/>
      <c r="H51" s="9"/>
      <c r="I51" s="17"/>
      <c r="J51" s="9"/>
      <c r="M51" s="16"/>
      <c r="N51" s="103"/>
      <c r="O51" s="17"/>
    </row>
    <row r="52" spans="1:15" s="6" customFormat="1" ht="13.8" x14ac:dyDescent="0.25">
      <c r="B52" s="9"/>
      <c r="C52" s="9"/>
      <c r="D52" s="9"/>
      <c r="E52" s="12"/>
      <c r="F52" s="9"/>
      <c r="G52" s="12"/>
      <c r="H52" s="9"/>
      <c r="I52" s="29"/>
      <c r="J52" s="9"/>
      <c r="M52" s="16"/>
      <c r="N52" s="103"/>
      <c r="O52" s="17"/>
    </row>
    <row r="53" spans="1:15" s="6" customFormat="1" ht="13.8" x14ac:dyDescent="0.25">
      <c r="B53" s="9"/>
      <c r="C53" s="9"/>
      <c r="D53" s="9"/>
      <c r="E53" s="12"/>
      <c r="F53" s="9"/>
      <c r="G53" s="12"/>
      <c r="H53" s="9"/>
      <c r="I53" s="29"/>
      <c r="J53" s="9"/>
      <c r="M53" s="16"/>
      <c r="N53" s="103"/>
      <c r="O53" s="17"/>
    </row>
    <row r="54" spans="1:15" s="6" customFormat="1" ht="13.8" x14ac:dyDescent="0.25">
      <c r="B54" s="9"/>
      <c r="C54" s="9"/>
      <c r="D54" s="9"/>
      <c r="E54" s="12"/>
      <c r="F54" s="9"/>
      <c r="G54" s="12"/>
      <c r="H54" s="9"/>
      <c r="I54" s="29"/>
      <c r="J54" s="9"/>
      <c r="M54" s="16"/>
      <c r="N54" s="103"/>
      <c r="O54" s="17"/>
    </row>
    <row r="55" spans="1:15" s="6" customFormat="1" ht="13.8" x14ac:dyDescent="0.25">
      <c r="B55" s="9"/>
      <c r="C55" s="9"/>
      <c r="D55" s="9"/>
      <c r="E55" s="12"/>
      <c r="F55" s="9"/>
      <c r="G55" s="12"/>
      <c r="H55" s="9"/>
      <c r="I55" s="12"/>
      <c r="J55" s="9"/>
      <c r="M55" s="16"/>
      <c r="N55" s="103"/>
      <c r="O55" s="17"/>
    </row>
    <row r="56" spans="1:15" s="6" customFormat="1" ht="13.8" x14ac:dyDescent="0.25">
      <c r="B56" s="9"/>
      <c r="C56" s="9"/>
      <c r="D56" s="9"/>
      <c r="E56" s="12"/>
      <c r="F56" s="9"/>
      <c r="G56" s="12"/>
      <c r="H56" s="9"/>
      <c r="I56" s="12"/>
      <c r="J56" s="9"/>
      <c r="M56" s="16"/>
      <c r="N56" s="103"/>
      <c r="O56" s="17"/>
    </row>
    <row r="57" spans="1:15" s="6" customFormat="1" ht="13.8" x14ac:dyDescent="0.25">
      <c r="B57" s="9"/>
      <c r="C57" s="9"/>
      <c r="D57" s="9"/>
      <c r="E57" s="12"/>
      <c r="F57" s="9"/>
      <c r="G57" s="12"/>
      <c r="H57" s="9"/>
      <c r="I57" s="12"/>
      <c r="J57" s="9"/>
      <c r="M57" s="16"/>
      <c r="N57" s="103"/>
      <c r="O57" s="17"/>
    </row>
    <row r="58" spans="1:15" s="6" customFormat="1" ht="13.8" x14ac:dyDescent="0.25">
      <c r="B58" s="9"/>
      <c r="C58" s="9"/>
      <c r="D58" s="9"/>
      <c r="E58" s="12"/>
      <c r="F58" s="9"/>
      <c r="G58" s="12"/>
      <c r="H58" s="9"/>
      <c r="I58" s="12"/>
      <c r="J58" s="9"/>
      <c r="M58" s="16"/>
      <c r="N58" s="103"/>
      <c r="O58" s="17"/>
    </row>
    <row r="59" spans="1:15" s="6" customFormat="1" ht="13.8" x14ac:dyDescent="0.25">
      <c r="B59" s="9"/>
      <c r="C59" s="9"/>
      <c r="D59" s="9"/>
      <c r="E59" s="12"/>
      <c r="F59" s="9"/>
      <c r="G59" s="12"/>
      <c r="H59" s="9"/>
      <c r="I59" s="12"/>
      <c r="J59" s="9"/>
      <c r="M59" s="16"/>
      <c r="N59" s="103"/>
      <c r="O59" s="17"/>
    </row>
    <row r="60" spans="1:15" s="6" customFormat="1" ht="13.8" x14ac:dyDescent="0.25">
      <c r="E60" s="7"/>
      <c r="G60" s="7"/>
      <c r="I60" s="12"/>
      <c r="M60" s="16"/>
      <c r="N60" s="103"/>
      <c r="O60" s="17"/>
    </row>
    <row r="61" spans="1:15" s="6" customFormat="1" ht="13.8" x14ac:dyDescent="0.25">
      <c r="E61" s="7"/>
      <c r="G61" s="7"/>
      <c r="I61" s="12"/>
      <c r="M61" s="16"/>
      <c r="N61" s="103"/>
      <c r="O61" s="17"/>
    </row>
    <row r="62" spans="1:15" s="6" customFormat="1" ht="13.8" x14ac:dyDescent="0.25">
      <c r="A62" s="11"/>
      <c r="E62" s="7"/>
      <c r="G62" s="7"/>
      <c r="I62" s="12"/>
      <c r="M62" s="16"/>
      <c r="N62" s="103"/>
      <c r="O62" s="17"/>
    </row>
    <row r="63" spans="1:15" s="6" customFormat="1" ht="13.8" x14ac:dyDescent="0.25">
      <c r="E63" s="7"/>
      <c r="G63" s="7"/>
      <c r="I63" s="12"/>
      <c r="M63" s="16"/>
      <c r="N63" s="103"/>
      <c r="O63" s="17"/>
    </row>
    <row r="64" spans="1:15" s="6" customFormat="1" ht="13.8" x14ac:dyDescent="0.25">
      <c r="E64" s="7"/>
      <c r="G64" s="7"/>
      <c r="I64" s="12"/>
      <c r="M64" s="16"/>
      <c r="N64" s="103"/>
      <c r="O64" s="17"/>
    </row>
    <row r="65" spans="1:15" s="6" customFormat="1" ht="13.8" x14ac:dyDescent="0.25">
      <c r="E65" s="7"/>
      <c r="G65" s="7"/>
      <c r="I65" s="12"/>
      <c r="M65" s="16"/>
      <c r="N65" s="103"/>
      <c r="O65" s="17"/>
    </row>
    <row r="66" spans="1:15" s="6" customFormat="1" ht="13.8" x14ac:dyDescent="0.25">
      <c r="E66" s="7"/>
      <c r="G66" s="7"/>
      <c r="I66" s="7"/>
      <c r="M66" s="16"/>
      <c r="N66" s="103"/>
      <c r="O66" s="17"/>
    </row>
    <row r="67" spans="1:15" s="6" customFormat="1" ht="13.8" x14ac:dyDescent="0.25">
      <c r="E67" s="7"/>
      <c r="G67" s="7"/>
      <c r="I67" s="7"/>
      <c r="M67" s="16"/>
      <c r="N67" s="103"/>
      <c r="O67" s="17"/>
    </row>
    <row r="68" spans="1:15" s="6" customFormat="1" ht="13.8" x14ac:dyDescent="0.25">
      <c r="A68" s="8"/>
      <c r="E68" s="7"/>
      <c r="G68" s="7"/>
      <c r="I68" s="7"/>
      <c r="M68" s="16"/>
      <c r="N68" s="103"/>
      <c r="O68" s="17"/>
    </row>
    <row r="69" spans="1:15" s="6" customFormat="1" ht="13.8" x14ac:dyDescent="0.25">
      <c r="E69" s="7"/>
      <c r="G69" s="7"/>
      <c r="I69" s="7"/>
      <c r="M69" s="16"/>
      <c r="N69" s="103"/>
      <c r="O69" s="17"/>
    </row>
    <row r="70" spans="1:15" s="6" customFormat="1" ht="13.8" x14ac:dyDescent="0.25">
      <c r="E70" s="7"/>
      <c r="G70" s="7"/>
      <c r="I70" s="7"/>
      <c r="M70" s="16"/>
      <c r="N70" s="103"/>
      <c r="O70" s="17"/>
    </row>
    <row r="71" spans="1:15" s="6" customFormat="1" ht="13.8" x14ac:dyDescent="0.25">
      <c r="A71" s="10"/>
      <c r="E71" s="7"/>
      <c r="G71" s="7"/>
      <c r="I71" s="7"/>
      <c r="M71" s="16"/>
      <c r="N71" s="103"/>
      <c r="O71" s="17"/>
    </row>
    <row r="72" spans="1:15" s="6" customFormat="1" ht="13.8" x14ac:dyDescent="0.25">
      <c r="E72" s="7"/>
      <c r="G72" s="7"/>
      <c r="I72" s="7"/>
      <c r="M72" s="16"/>
      <c r="N72" s="103"/>
      <c r="O72" s="17"/>
    </row>
    <row r="73" spans="1:15" s="6" customFormat="1" ht="13.8" x14ac:dyDescent="0.25">
      <c r="E73" s="7"/>
      <c r="G73" s="7"/>
      <c r="I73" s="7"/>
      <c r="M73" s="16"/>
      <c r="N73" s="103"/>
      <c r="O73" s="17"/>
    </row>
    <row r="74" spans="1:15" s="6" customFormat="1" ht="13.8" x14ac:dyDescent="0.25">
      <c r="E74" s="7"/>
      <c r="G74" s="7"/>
      <c r="I74" s="7"/>
      <c r="M74" s="16"/>
      <c r="N74" s="103"/>
      <c r="O74" s="17"/>
    </row>
    <row r="75" spans="1:15" s="6" customFormat="1" ht="13.8" x14ac:dyDescent="0.25">
      <c r="E75" s="7"/>
      <c r="G75" s="7"/>
      <c r="I75" s="7"/>
      <c r="M75" s="16"/>
      <c r="N75" s="103"/>
      <c r="O75" s="17"/>
    </row>
    <row r="76" spans="1:15" s="6" customFormat="1" ht="13.8" x14ac:dyDescent="0.25">
      <c r="E76" s="7"/>
      <c r="G76" s="7"/>
      <c r="I76" s="7"/>
      <c r="M76" s="16"/>
      <c r="N76" s="103"/>
      <c r="O76" s="17"/>
    </row>
    <row r="77" spans="1:15" x14ac:dyDescent="0.3">
      <c r="I77" s="7"/>
      <c r="N77" s="234"/>
    </row>
    <row r="78" spans="1:15" x14ac:dyDescent="0.3">
      <c r="I78" s="7"/>
      <c r="N78" s="234"/>
    </row>
    <row r="79" spans="1:15" x14ac:dyDescent="0.3">
      <c r="I79" s="7"/>
      <c r="N79" s="234"/>
    </row>
    <row r="80" spans="1:15" x14ac:dyDescent="0.3">
      <c r="I80" s="7"/>
      <c r="N80" s="234"/>
    </row>
    <row r="81" spans="9:14" x14ac:dyDescent="0.3">
      <c r="I81" s="7"/>
      <c r="N81" s="234"/>
    </row>
    <row r="82" spans="9:14" x14ac:dyDescent="0.3">
      <c r="I82" s="7"/>
      <c r="N82" s="234"/>
    </row>
    <row r="83" spans="9:14" x14ac:dyDescent="0.3">
      <c r="N83" s="234"/>
    </row>
    <row r="84" spans="9:14" x14ac:dyDescent="0.3">
      <c r="N84" s="234"/>
    </row>
    <row r="85" spans="9:14" x14ac:dyDescent="0.3">
      <c r="N85" s="234"/>
    </row>
    <row r="86" spans="9:14" x14ac:dyDescent="0.3">
      <c r="N86" s="234"/>
    </row>
    <row r="87" spans="9:14" x14ac:dyDescent="0.3">
      <c r="N87" s="234"/>
    </row>
    <row r="88" spans="9:14" x14ac:dyDescent="0.3">
      <c r="N88" s="234"/>
    </row>
    <row r="89" spans="9:14" x14ac:dyDescent="0.3">
      <c r="N89" s="234"/>
    </row>
    <row r="90" spans="9:14" x14ac:dyDescent="0.3">
      <c r="N90" s="234"/>
    </row>
    <row r="91" spans="9:14" x14ac:dyDescent="0.3">
      <c r="N91" s="234"/>
    </row>
    <row r="92" spans="9:14" x14ac:dyDescent="0.3">
      <c r="N92" s="234"/>
    </row>
    <row r="93" spans="9:14" x14ac:dyDescent="0.3">
      <c r="N93" s="234"/>
    </row>
    <row r="94" spans="9:14" x14ac:dyDescent="0.3">
      <c r="N94" s="234"/>
    </row>
    <row r="95" spans="9:14" x14ac:dyDescent="0.3">
      <c r="N95" s="234"/>
    </row>
    <row r="96" spans="9:14" x14ac:dyDescent="0.3">
      <c r="N96" s="234"/>
    </row>
    <row r="97" spans="14:14" x14ac:dyDescent="0.3">
      <c r="N97" s="234"/>
    </row>
    <row r="98" spans="14:14" x14ac:dyDescent="0.3">
      <c r="N98" s="234"/>
    </row>
    <row r="99" spans="14:14" x14ac:dyDescent="0.3">
      <c r="N99" s="234"/>
    </row>
    <row r="100" spans="14:14" x14ac:dyDescent="0.3">
      <c r="N100" s="234"/>
    </row>
    <row r="101" spans="14:14" x14ac:dyDescent="0.3">
      <c r="N101" s="234"/>
    </row>
    <row r="102" spans="14:14" x14ac:dyDescent="0.3">
      <c r="N102" s="234"/>
    </row>
    <row r="103" spans="14:14" x14ac:dyDescent="0.3">
      <c r="N103" s="234"/>
    </row>
    <row r="104" spans="14:14" x14ac:dyDescent="0.3">
      <c r="N104" s="234"/>
    </row>
    <row r="105" spans="14:14" x14ac:dyDescent="0.3">
      <c r="N105" s="234"/>
    </row>
    <row r="106" spans="14:14" x14ac:dyDescent="0.3">
      <c r="N106" s="234"/>
    </row>
    <row r="107" spans="14:14" x14ac:dyDescent="0.3">
      <c r="N107" s="234"/>
    </row>
    <row r="108" spans="14:14" x14ac:dyDescent="0.3">
      <c r="N108" s="234"/>
    </row>
    <row r="109" spans="14:14" x14ac:dyDescent="0.3">
      <c r="N109" s="234"/>
    </row>
    <row r="110" spans="14:14" x14ac:dyDescent="0.3">
      <c r="N110" s="234"/>
    </row>
    <row r="111" spans="14:14" x14ac:dyDescent="0.3">
      <c r="N111" s="234"/>
    </row>
    <row r="112" spans="14:14" x14ac:dyDescent="0.3">
      <c r="N112" s="234"/>
    </row>
    <row r="113" spans="14:14" x14ac:dyDescent="0.3">
      <c r="N113" s="234"/>
    </row>
    <row r="114" spans="14:14" x14ac:dyDescent="0.3">
      <c r="N114" s="234"/>
    </row>
    <row r="115" spans="14:14" x14ac:dyDescent="0.3">
      <c r="N115" s="234"/>
    </row>
    <row r="116" spans="14:14" x14ac:dyDescent="0.3">
      <c r="N116" s="234"/>
    </row>
    <row r="117" spans="14:14" x14ac:dyDescent="0.3">
      <c r="N117" s="234"/>
    </row>
    <row r="118" spans="14:14" x14ac:dyDescent="0.3">
      <c r="N118" s="234"/>
    </row>
    <row r="119" spans="14:14" x14ac:dyDescent="0.3">
      <c r="N119" s="234"/>
    </row>
    <row r="120" spans="14:14" x14ac:dyDescent="0.3">
      <c r="N120" s="234"/>
    </row>
    <row r="121" spans="14:14" x14ac:dyDescent="0.3">
      <c r="N121" s="234"/>
    </row>
    <row r="122" spans="14:14" x14ac:dyDescent="0.3">
      <c r="N122" s="234"/>
    </row>
    <row r="123" spans="14:14" x14ac:dyDescent="0.3">
      <c r="N123" s="234"/>
    </row>
    <row r="124" spans="14:14" x14ac:dyDescent="0.3">
      <c r="N124" s="234"/>
    </row>
    <row r="125" spans="14:14" x14ac:dyDescent="0.3">
      <c r="N125" s="234"/>
    </row>
    <row r="126" spans="14:14" x14ac:dyDescent="0.3">
      <c r="N126" s="234"/>
    </row>
    <row r="127" spans="14:14" x14ac:dyDescent="0.3">
      <c r="N127" s="234"/>
    </row>
    <row r="128" spans="14:14" x14ac:dyDescent="0.3">
      <c r="N128" s="234"/>
    </row>
    <row r="129" spans="14:14" x14ac:dyDescent="0.3">
      <c r="N129" s="234"/>
    </row>
    <row r="130" spans="14:14" x14ac:dyDescent="0.3">
      <c r="N130" s="234"/>
    </row>
    <row r="131" spans="14:14" x14ac:dyDescent="0.3">
      <c r="N131" s="234"/>
    </row>
    <row r="132" spans="14:14" x14ac:dyDescent="0.3">
      <c r="N132" s="234"/>
    </row>
    <row r="133" spans="14:14" x14ac:dyDescent="0.3">
      <c r="N133" s="234"/>
    </row>
    <row r="134" spans="14:14" x14ac:dyDescent="0.3">
      <c r="N134" s="234"/>
    </row>
    <row r="135" spans="14:14" x14ac:dyDescent="0.3">
      <c r="N135" s="234"/>
    </row>
    <row r="136" spans="14:14" x14ac:dyDescent="0.3">
      <c r="N136" s="234"/>
    </row>
    <row r="137" spans="14:14" x14ac:dyDescent="0.3">
      <c r="N137" s="234"/>
    </row>
    <row r="138" spans="14:14" x14ac:dyDescent="0.3">
      <c r="N138" s="234"/>
    </row>
    <row r="139" spans="14:14" x14ac:dyDescent="0.3">
      <c r="N139" s="234"/>
    </row>
    <row r="140" spans="14:14" x14ac:dyDescent="0.3">
      <c r="N140" s="234"/>
    </row>
    <row r="141" spans="14:14" x14ac:dyDescent="0.3">
      <c r="N141" s="234"/>
    </row>
    <row r="142" spans="14:14" x14ac:dyDescent="0.3">
      <c r="N142" s="234"/>
    </row>
  </sheetData>
  <phoneticPr fontId="22" type="noConversion"/>
  <pageMargins left="0.75" right="0.75" top="1" bottom="1" header="0.5" footer="0.5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2">
    <tabColor indexed="13"/>
  </sheetPr>
  <dimension ref="A1:G56"/>
  <sheetViews>
    <sheetView zoomScaleNormal="100" zoomScaleSheetLayoutView="100" workbookViewId="0">
      <selection activeCell="A18" sqref="A18"/>
    </sheetView>
  </sheetViews>
  <sheetFormatPr defaultColWidth="8.8984375" defaultRowHeight="15" outlineLevelRow="1" x14ac:dyDescent="0.25"/>
  <cols>
    <col min="1" max="3" width="8.8984375" style="3"/>
    <col min="4" max="4" width="11.5" style="3" customWidth="1"/>
    <col min="5" max="5" width="11.8984375" style="3" customWidth="1"/>
    <col min="6" max="6" width="10.5" style="3" customWidth="1"/>
    <col min="7" max="7" width="15.8984375" style="5" customWidth="1"/>
    <col min="8" max="16384" width="8.8984375" style="3"/>
  </cols>
  <sheetData>
    <row r="1" spans="1:7" x14ac:dyDescent="0.25">
      <c r="A1" s="386"/>
      <c r="B1" s="386"/>
      <c r="C1" s="386"/>
      <c r="D1" s="386"/>
      <c r="E1" s="386"/>
      <c r="F1" s="386"/>
      <c r="G1" s="386"/>
    </row>
    <row r="2" spans="1:7" ht="15.6" x14ac:dyDescent="0.3">
      <c r="A2" s="82" t="s">
        <v>20</v>
      </c>
      <c r="B2" s="6"/>
      <c r="C2" s="6"/>
      <c r="D2" s="6"/>
      <c r="E2" s="6"/>
      <c r="F2" s="6"/>
      <c r="G2" s="186"/>
    </row>
    <row r="3" spans="1:7" ht="14.25" customHeight="1" x14ac:dyDescent="0.25">
      <c r="A3" s="16"/>
      <c r="B3" s="6"/>
      <c r="C3" s="6"/>
      <c r="D3" s="6"/>
      <c r="E3" s="6"/>
      <c r="F3" s="6"/>
      <c r="G3" s="18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6"/>
      <c r="B5" s="6"/>
      <c r="C5" s="6"/>
      <c r="D5" s="6"/>
      <c r="E5" s="6"/>
      <c r="F5" s="6"/>
      <c r="G5" s="32" t="s">
        <v>21</v>
      </c>
    </row>
    <row r="6" spans="1:7" x14ac:dyDescent="0.25">
      <c r="A6" s="15" t="s">
        <v>22</v>
      </c>
      <c r="B6" s="16"/>
      <c r="C6" s="16"/>
      <c r="D6" s="16"/>
      <c r="E6" s="16"/>
      <c r="F6" s="16"/>
      <c r="G6" s="86"/>
    </row>
    <row r="7" spans="1:7" ht="12.75" customHeight="1" x14ac:dyDescent="0.25">
      <c r="A7" s="16"/>
      <c r="B7" s="16"/>
      <c r="C7" s="16"/>
      <c r="D7" s="16"/>
      <c r="E7" s="16"/>
      <c r="F7" s="16"/>
      <c r="G7" s="86"/>
    </row>
    <row r="8" spans="1:7" s="6" customFormat="1" ht="13.8" x14ac:dyDescent="0.25">
      <c r="A8" s="16" t="s">
        <v>23</v>
      </c>
      <c r="B8" s="16"/>
      <c r="C8" s="16"/>
      <c r="D8" s="16"/>
      <c r="E8" s="16"/>
      <c r="F8" s="16"/>
      <c r="G8" s="86">
        <v>1</v>
      </c>
    </row>
    <row r="9" spans="1:7" s="6" customFormat="1" ht="12.75" customHeight="1" x14ac:dyDescent="0.25">
      <c r="A9" s="16"/>
      <c r="B9" s="16"/>
      <c r="C9" s="16"/>
      <c r="D9" s="16"/>
      <c r="E9" s="16"/>
      <c r="F9" s="16"/>
      <c r="G9" s="86"/>
    </row>
    <row r="10" spans="1:7" x14ac:dyDescent="0.25">
      <c r="A10" s="16" t="s">
        <v>56</v>
      </c>
      <c r="B10" s="16"/>
      <c r="C10" s="16"/>
      <c r="D10" s="16"/>
      <c r="E10" s="16"/>
      <c r="F10" s="16"/>
      <c r="G10" s="86">
        <v>2</v>
      </c>
    </row>
    <row r="11" spans="1:7" ht="12.75" customHeight="1" x14ac:dyDescent="0.25">
      <c r="A11" s="16"/>
      <c r="B11" s="16"/>
      <c r="C11" s="16"/>
      <c r="D11" s="16"/>
      <c r="E11" s="16"/>
      <c r="F11" s="16"/>
      <c r="G11" s="86"/>
    </row>
    <row r="12" spans="1:7" hidden="1" outlineLevel="1" x14ac:dyDescent="0.25">
      <c r="A12" s="16" t="s">
        <v>63</v>
      </c>
      <c r="B12" s="16"/>
      <c r="C12" s="16"/>
      <c r="D12" s="16"/>
      <c r="E12" s="16"/>
      <c r="F12" s="16"/>
      <c r="G12" s="86">
        <v>3</v>
      </c>
    </row>
    <row r="13" spans="1:7" ht="12.75" hidden="1" customHeight="1" outlineLevel="1" x14ac:dyDescent="0.25">
      <c r="A13" s="16"/>
      <c r="B13" s="16"/>
      <c r="C13" s="16"/>
      <c r="D13" s="16"/>
      <c r="E13" s="16"/>
      <c r="F13" s="16"/>
      <c r="G13" s="86"/>
    </row>
    <row r="14" spans="1:7" collapsed="1" x14ac:dyDescent="0.25">
      <c r="A14" s="16" t="s">
        <v>57</v>
      </c>
      <c r="B14" s="16"/>
      <c r="C14" s="16"/>
      <c r="D14" s="16"/>
      <c r="E14" s="16"/>
      <c r="F14" s="16"/>
      <c r="G14" s="86">
        <v>3</v>
      </c>
    </row>
    <row r="15" spans="1:7" ht="12.75" customHeight="1" x14ac:dyDescent="0.25">
      <c r="A15" s="16"/>
      <c r="B15" s="16"/>
      <c r="C15" s="16"/>
      <c r="D15" s="16"/>
      <c r="E15" s="16"/>
      <c r="F15" s="16"/>
      <c r="G15" s="86"/>
    </row>
    <row r="16" spans="1:7" x14ac:dyDescent="0.25">
      <c r="A16" s="15" t="s">
        <v>58</v>
      </c>
      <c r="B16" s="16"/>
      <c r="C16" s="16"/>
      <c r="D16" s="16"/>
      <c r="E16" s="16"/>
      <c r="F16" s="16"/>
      <c r="G16" s="86"/>
    </row>
    <row r="17" spans="1:7" ht="12.75" customHeight="1" x14ac:dyDescent="0.25">
      <c r="A17" s="16"/>
      <c r="B17" s="16"/>
      <c r="C17" s="16"/>
      <c r="D17" s="16"/>
      <c r="E17" s="16"/>
      <c r="F17" s="16"/>
      <c r="G17" s="86"/>
    </row>
    <row r="18" spans="1:7" s="6" customFormat="1" ht="13.8" x14ac:dyDescent="0.25">
      <c r="A18" s="16" t="s">
        <v>460</v>
      </c>
      <c r="B18" s="16"/>
      <c r="C18" s="16"/>
      <c r="D18" s="16"/>
      <c r="E18" s="16"/>
      <c r="F18" s="16"/>
      <c r="G18" s="86">
        <v>4</v>
      </c>
    </row>
    <row r="19" spans="1:7" s="6" customFormat="1" ht="12.75" customHeight="1" x14ac:dyDescent="0.25">
      <c r="A19" s="16"/>
      <c r="B19" s="16"/>
      <c r="C19" s="16"/>
      <c r="D19" s="16"/>
      <c r="E19" s="16"/>
      <c r="F19" s="16"/>
      <c r="G19" s="86"/>
    </row>
    <row r="20" spans="1:7" s="6" customFormat="1" ht="13.8" x14ac:dyDescent="0.25">
      <c r="A20" s="16" t="s">
        <v>443</v>
      </c>
      <c r="B20" s="16"/>
      <c r="C20" s="16"/>
      <c r="D20" s="16"/>
      <c r="E20" s="16"/>
      <c r="F20" s="16"/>
      <c r="G20" s="187">
        <v>6</v>
      </c>
    </row>
    <row r="21" spans="1:7" s="6" customFormat="1" ht="12.75" customHeight="1" x14ac:dyDescent="0.25">
      <c r="A21" s="17"/>
      <c r="B21" s="16"/>
      <c r="C21" s="16"/>
      <c r="D21" s="16"/>
      <c r="E21" s="16"/>
      <c r="F21" s="16"/>
      <c r="G21" s="86"/>
    </row>
    <row r="22" spans="1:7" s="6" customFormat="1" ht="13.8" x14ac:dyDescent="0.25">
      <c r="A22" s="17" t="s">
        <v>27</v>
      </c>
      <c r="B22" s="16"/>
      <c r="C22" s="16"/>
      <c r="D22" s="16"/>
      <c r="E22" s="16"/>
      <c r="F22" s="16"/>
      <c r="G22" s="86">
        <v>7</v>
      </c>
    </row>
    <row r="23" spans="1:7" s="6" customFormat="1" ht="12.75" customHeight="1" x14ac:dyDescent="0.25">
      <c r="A23" s="17"/>
      <c r="B23" s="16"/>
      <c r="C23" s="16"/>
      <c r="D23" s="16"/>
      <c r="E23" s="16"/>
      <c r="F23" s="16"/>
      <c r="G23" s="86"/>
    </row>
    <row r="24" spans="1:7" s="6" customFormat="1" ht="13.8" x14ac:dyDescent="0.25">
      <c r="A24" s="17" t="str">
        <f>+[1]Grondslagen!A1</f>
        <v>Grondslagen van de financiële verslaggeving</v>
      </c>
      <c r="B24" s="16"/>
      <c r="C24" s="16"/>
      <c r="D24" s="16"/>
      <c r="E24" s="16"/>
      <c r="F24" s="16"/>
      <c r="G24" s="86">
        <v>8</v>
      </c>
    </row>
    <row r="25" spans="1:7" s="6" customFormat="1" ht="12.75" customHeight="1" x14ac:dyDescent="0.25">
      <c r="A25" s="17"/>
      <c r="B25" s="16"/>
      <c r="C25" s="16"/>
      <c r="D25" s="16"/>
      <c r="E25" s="16"/>
      <c r="F25" s="16"/>
      <c r="G25" s="86"/>
    </row>
    <row r="26" spans="1:7" s="6" customFormat="1" ht="13.8" x14ac:dyDescent="0.25">
      <c r="A26" s="16" t="str">
        <f>+[1]Toelichting_balans!A1</f>
        <v>Toelichting op de balans</v>
      </c>
      <c r="B26" s="16"/>
      <c r="C26" s="16"/>
      <c r="D26" s="16"/>
      <c r="E26" s="16"/>
      <c r="F26" s="16"/>
      <c r="G26" s="86">
        <v>10</v>
      </c>
    </row>
    <row r="27" spans="1:7" s="6" customFormat="1" ht="12.75" customHeight="1" x14ac:dyDescent="0.25">
      <c r="A27" s="16"/>
      <c r="B27" s="16"/>
      <c r="C27" s="16"/>
      <c r="D27" s="16"/>
      <c r="E27" s="16"/>
      <c r="F27" s="16"/>
      <c r="G27" s="86"/>
    </row>
    <row r="28" spans="1:7" s="6" customFormat="1" ht="13.8" x14ac:dyDescent="0.25">
      <c r="A28" s="16" t="str">
        <f>+[1]Toelichting_expl!A2</f>
        <v>Toelichting op de staat van baten en lasten</v>
      </c>
      <c r="B28" s="16"/>
      <c r="C28" s="16"/>
      <c r="D28" s="16"/>
      <c r="E28" s="16"/>
      <c r="F28" s="16"/>
      <c r="G28" s="86">
        <v>14</v>
      </c>
    </row>
    <row r="29" spans="1:7" s="6" customFormat="1" ht="12.75" customHeight="1" x14ac:dyDescent="0.3">
      <c r="A29" s="133"/>
      <c r="B29" s="133"/>
      <c r="C29" s="133"/>
      <c r="D29" s="133"/>
      <c r="E29" s="133"/>
      <c r="F29" s="133"/>
      <c r="G29" s="134"/>
    </row>
    <row r="30" spans="1:7" s="6" customFormat="1" ht="16.8" hidden="1" x14ac:dyDescent="0.3">
      <c r="A30" s="133" t="s">
        <v>59</v>
      </c>
      <c r="B30" s="133"/>
      <c r="C30" s="133"/>
      <c r="D30" s="133"/>
      <c r="E30" s="133"/>
      <c r="F30" s="133"/>
      <c r="G30" s="134">
        <v>23</v>
      </c>
    </row>
    <row r="31" spans="1:7" ht="12.75" hidden="1" customHeight="1" x14ac:dyDescent="0.3">
      <c r="A31" s="133"/>
      <c r="B31" s="133"/>
      <c r="C31" s="133"/>
      <c r="D31" s="133"/>
      <c r="E31" s="133"/>
      <c r="F31" s="133"/>
      <c r="G31" s="134"/>
    </row>
    <row r="32" spans="1:7" ht="16.8" hidden="1" x14ac:dyDescent="0.3">
      <c r="A32" s="132" t="s">
        <v>60</v>
      </c>
      <c r="B32" s="133"/>
      <c r="C32" s="133"/>
      <c r="D32" s="133"/>
      <c r="E32" s="133"/>
      <c r="F32" s="133"/>
      <c r="G32" s="134"/>
    </row>
    <row r="33" spans="1:7" ht="12.75" hidden="1" customHeight="1" x14ac:dyDescent="0.3">
      <c r="A33" s="133"/>
      <c r="B33" s="133"/>
      <c r="C33" s="133"/>
      <c r="D33" s="133"/>
      <c r="E33" s="133"/>
      <c r="F33" s="133"/>
      <c r="G33" s="134"/>
    </row>
    <row r="34" spans="1:7" s="2" customFormat="1" ht="16.8" hidden="1" x14ac:dyDescent="0.3">
      <c r="A34" s="133" t="s">
        <v>61</v>
      </c>
      <c r="B34" s="133"/>
      <c r="C34" s="133"/>
      <c r="D34" s="133"/>
      <c r="E34" s="133"/>
      <c r="F34" s="133"/>
      <c r="G34" s="134">
        <v>25</v>
      </c>
    </row>
    <row r="35" spans="1:7" s="2" customFormat="1" ht="12.75" hidden="1" customHeight="1" x14ac:dyDescent="0.3">
      <c r="A35" s="133"/>
      <c r="B35" s="133"/>
      <c r="C35" s="133"/>
      <c r="D35" s="133"/>
      <c r="E35" s="133"/>
      <c r="F35" s="133"/>
      <c r="G35" s="134"/>
    </row>
    <row r="36" spans="1:7" ht="16.8" hidden="1" x14ac:dyDescent="0.3">
      <c r="A36" s="133" t="s">
        <v>62</v>
      </c>
      <c r="B36" s="133"/>
      <c r="C36" s="133"/>
      <c r="D36" s="133"/>
      <c r="E36" s="133"/>
      <c r="F36" s="133"/>
      <c r="G36" s="134">
        <v>27</v>
      </c>
    </row>
    <row r="37" spans="1:7" ht="12.75" customHeight="1" x14ac:dyDescent="0.25">
      <c r="A37" s="15" t="s">
        <v>59</v>
      </c>
      <c r="G37" s="135"/>
    </row>
    <row r="39" spans="1:7" x14ac:dyDescent="0.25">
      <c r="A39" s="17" t="s">
        <v>367</v>
      </c>
      <c r="G39" s="86">
        <v>19</v>
      </c>
    </row>
    <row r="40" spans="1:7" x14ac:dyDescent="0.25">
      <c r="A40" s="17"/>
      <c r="G40" s="86"/>
    </row>
    <row r="41" spans="1:7" x14ac:dyDescent="0.25">
      <c r="A41" s="17" t="s">
        <v>369</v>
      </c>
      <c r="G41" s="86">
        <v>19</v>
      </c>
    </row>
    <row r="42" spans="1:7" x14ac:dyDescent="0.25">
      <c r="A42" s="17"/>
      <c r="G42" s="86"/>
    </row>
    <row r="43" spans="1:7" x14ac:dyDescent="0.25">
      <c r="A43" s="17" t="s">
        <v>258</v>
      </c>
      <c r="G43" s="86">
        <v>19</v>
      </c>
    </row>
    <row r="44" spans="1:7" x14ac:dyDescent="0.25">
      <c r="A44" s="17"/>
      <c r="G44" s="86"/>
    </row>
    <row r="45" spans="1:7" x14ac:dyDescent="0.25">
      <c r="A45" s="17" t="s">
        <v>374</v>
      </c>
      <c r="G45" s="86">
        <v>19</v>
      </c>
    </row>
    <row r="46" spans="1:7" x14ac:dyDescent="0.25">
      <c r="G46" s="86"/>
    </row>
    <row r="51" spans="7:7" x14ac:dyDescent="0.25">
      <c r="G51" s="144"/>
    </row>
    <row r="52" spans="7:7" x14ac:dyDescent="0.25">
      <c r="G52" s="144"/>
    </row>
    <row r="53" spans="7:7" x14ac:dyDescent="0.25">
      <c r="G53" s="144"/>
    </row>
    <row r="54" spans="7:7" x14ac:dyDescent="0.25">
      <c r="G54" s="144"/>
    </row>
    <row r="55" spans="7:7" x14ac:dyDescent="0.25">
      <c r="G55" s="144"/>
    </row>
    <row r="56" spans="7:7" x14ac:dyDescent="0.25">
      <c r="G56" s="148"/>
    </row>
  </sheetData>
  <mergeCells count="1">
    <mergeCell ref="A1:G1"/>
  </mergeCells>
  <phoneticPr fontId="22" type="noConversion"/>
  <pageMargins left="1.1023622047244095" right="0.51181102362204722" top="1.1811023622047245" bottom="0.39370078740157483" header="0.51181102362204722" footer="0.51181102362204722"/>
  <pageSetup paperSize="9" orientation="portrait" r:id="rId1"/>
  <headerFooter alignWithMargins="0">
    <oddHeader>&amp;C&amp;11Nederlandse Triathlon Bond, Nieuwegein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  <pageSetUpPr fitToPage="1"/>
  </sheetPr>
  <dimension ref="A1:I51"/>
  <sheetViews>
    <sheetView zoomScaleNormal="100" workbookViewId="0">
      <selection activeCell="A17" sqref="A17"/>
    </sheetView>
  </sheetViews>
  <sheetFormatPr defaultColWidth="8.8984375" defaultRowHeight="15.6" x14ac:dyDescent="0.3"/>
  <cols>
    <col min="1" max="1" width="3.09765625" customWidth="1"/>
    <col min="2" max="2" width="26.3984375" customWidth="1"/>
    <col min="3" max="3" width="22.3984375" customWidth="1"/>
    <col min="5" max="5" width="20.8984375" bestFit="1" customWidth="1"/>
  </cols>
  <sheetData>
    <row r="1" spans="1:2" ht="23.25" customHeight="1" x14ac:dyDescent="0.4">
      <c r="A1" s="163">
        <v>1</v>
      </c>
      <c r="B1" s="163" t="s">
        <v>42</v>
      </c>
    </row>
    <row r="2" spans="1:2" x14ac:dyDescent="0.3">
      <c r="A2" s="16"/>
      <c r="B2" s="16"/>
    </row>
    <row r="3" spans="1:2" x14ac:dyDescent="0.3">
      <c r="A3" s="16" t="s">
        <v>546</v>
      </c>
      <c r="B3" s="16"/>
    </row>
    <row r="4" spans="1:2" x14ac:dyDescent="0.3">
      <c r="A4" s="16"/>
      <c r="B4" s="16"/>
    </row>
    <row r="5" spans="1:2" ht="20.25" customHeight="1" x14ac:dyDescent="0.3">
      <c r="A5" s="387" t="s">
        <v>7</v>
      </c>
      <c r="B5" s="387"/>
    </row>
    <row r="6" spans="1:2" x14ac:dyDescent="0.3">
      <c r="A6" s="16"/>
      <c r="B6" s="16"/>
    </row>
    <row r="7" spans="1:2" x14ac:dyDescent="0.3">
      <c r="A7" s="16" t="s">
        <v>8</v>
      </c>
      <c r="B7" s="16"/>
    </row>
    <row r="8" spans="1:2" x14ac:dyDescent="0.3">
      <c r="A8" s="16" t="s">
        <v>0</v>
      </c>
      <c r="B8" s="16"/>
    </row>
    <row r="9" spans="1:2" x14ac:dyDescent="0.3">
      <c r="A9" s="16" t="s">
        <v>1</v>
      </c>
      <c r="B9" s="16"/>
    </row>
    <row r="10" spans="1:2" x14ac:dyDescent="0.3">
      <c r="A10" s="16" t="s">
        <v>2</v>
      </c>
      <c r="B10" s="16"/>
    </row>
    <row r="11" spans="1:2" x14ac:dyDescent="0.3">
      <c r="A11" s="16"/>
      <c r="B11" s="16"/>
    </row>
    <row r="12" spans="1:2" x14ac:dyDescent="0.3">
      <c r="A12" s="16"/>
      <c r="B12" s="16"/>
    </row>
    <row r="13" spans="1:2" ht="31.5" customHeight="1" x14ac:dyDescent="0.3">
      <c r="A13" s="387" t="s">
        <v>555</v>
      </c>
      <c r="B13" s="387"/>
    </row>
    <row r="14" spans="1:2" x14ac:dyDescent="0.3">
      <c r="A14" s="16"/>
      <c r="B14" s="16"/>
    </row>
    <row r="15" spans="1:2" s="18" customFormat="1" x14ac:dyDescent="0.3">
      <c r="A15" s="16" t="s">
        <v>556</v>
      </c>
      <c r="B15" s="16"/>
    </row>
    <row r="16" spans="1:2" s="18" customFormat="1" x14ac:dyDescent="0.3">
      <c r="A16" s="16" t="s">
        <v>557</v>
      </c>
      <c r="B16" s="16"/>
    </row>
    <row r="17" spans="1:9" s="18" customFormat="1" x14ac:dyDescent="0.3">
      <c r="A17" s="16" t="s">
        <v>439</v>
      </c>
      <c r="B17" s="16"/>
    </row>
    <row r="18" spans="1:9" x14ac:dyDescent="0.3">
      <c r="A18" s="16"/>
      <c r="B18" s="16"/>
    </row>
    <row r="19" spans="1:9" ht="24" customHeight="1" x14ac:dyDescent="0.3">
      <c r="A19" s="26" t="s">
        <v>3</v>
      </c>
      <c r="B19" s="26"/>
    </row>
    <row r="20" spans="1:9" x14ac:dyDescent="0.3">
      <c r="A20" s="16"/>
      <c r="B20" s="16"/>
    </row>
    <row r="21" spans="1:9" x14ac:dyDescent="0.3">
      <c r="A21" s="16" t="s">
        <v>548</v>
      </c>
      <c r="B21" s="16"/>
      <c r="I21" s="16"/>
    </row>
    <row r="22" spans="1:9" x14ac:dyDescent="0.3">
      <c r="A22" s="16" t="s">
        <v>547</v>
      </c>
    </row>
    <row r="23" spans="1:9" x14ac:dyDescent="0.3">
      <c r="A23" s="16" t="s">
        <v>549</v>
      </c>
      <c r="B23" s="16"/>
      <c r="I23" s="16"/>
    </row>
    <row r="24" spans="1:9" x14ac:dyDescent="0.3">
      <c r="A24" s="16" t="s">
        <v>550</v>
      </c>
      <c r="B24" s="16"/>
    </row>
    <row r="25" spans="1:9" x14ac:dyDescent="0.3">
      <c r="A25" s="16"/>
      <c r="B25" s="16"/>
    </row>
    <row r="26" spans="1:9" x14ac:dyDescent="0.3">
      <c r="A26" s="209" t="s">
        <v>9</v>
      </c>
      <c r="B26" s="164"/>
    </row>
    <row r="27" spans="1:9" x14ac:dyDescent="0.3">
      <c r="A27" s="16"/>
      <c r="B27" s="16"/>
    </row>
    <row r="28" spans="1:9" x14ac:dyDescent="0.3">
      <c r="A28" s="16" t="s">
        <v>554</v>
      </c>
      <c r="B28" s="16"/>
    </row>
    <row r="30" spans="1:9" x14ac:dyDescent="0.3">
      <c r="A30" s="16" t="s">
        <v>10</v>
      </c>
      <c r="B30" s="16"/>
      <c r="E30" s="16"/>
      <c r="F30" s="16"/>
    </row>
    <row r="31" spans="1:9" x14ac:dyDescent="0.3">
      <c r="A31" s="16"/>
      <c r="B31" s="16"/>
      <c r="E31" s="16"/>
      <c r="F31" s="16"/>
    </row>
    <row r="32" spans="1:9" x14ac:dyDescent="0.3">
      <c r="A32" s="16" t="s">
        <v>508</v>
      </c>
      <c r="B32" s="16"/>
      <c r="C32" s="17">
        <v>32319</v>
      </c>
      <c r="E32" s="16"/>
      <c r="F32" s="16"/>
      <c r="G32" s="17"/>
      <c r="H32" s="239"/>
    </row>
    <row r="33" spans="1:8" x14ac:dyDescent="0.3">
      <c r="A33" s="16" t="s">
        <v>551</v>
      </c>
      <c r="B33" s="16"/>
      <c r="C33" s="165">
        <v>22737</v>
      </c>
      <c r="E33" s="16"/>
      <c r="F33" s="16"/>
      <c r="G33" s="165"/>
      <c r="H33" s="239"/>
    </row>
    <row r="34" spans="1:8" x14ac:dyDescent="0.3">
      <c r="C34" s="17">
        <f>+C32-C33</f>
        <v>9582</v>
      </c>
      <c r="G34" s="17"/>
      <c r="H34" s="239"/>
    </row>
    <row r="35" spans="1:8" x14ac:dyDescent="0.3">
      <c r="A35" s="16" t="s">
        <v>11</v>
      </c>
      <c r="B35" s="16"/>
      <c r="C35" s="17">
        <v>1954</v>
      </c>
      <c r="E35" s="16"/>
      <c r="F35" s="16"/>
      <c r="G35" s="17"/>
      <c r="H35" s="239"/>
    </row>
    <row r="36" spans="1:8" x14ac:dyDescent="0.3">
      <c r="A36" s="16" t="s">
        <v>12</v>
      </c>
      <c r="B36" s="16"/>
      <c r="C36" s="250">
        <v>1468</v>
      </c>
      <c r="E36" s="16"/>
      <c r="F36" s="16"/>
      <c r="G36" s="250"/>
      <c r="H36" s="239"/>
    </row>
    <row r="37" spans="1:8" x14ac:dyDescent="0.3">
      <c r="C37" s="17">
        <f>+C34+C35-C36</f>
        <v>10068</v>
      </c>
      <c r="G37" s="17"/>
      <c r="H37" s="239"/>
    </row>
    <row r="38" spans="1:8" x14ac:dyDescent="0.3">
      <c r="A38" s="16" t="s">
        <v>552</v>
      </c>
      <c r="B38" s="16"/>
      <c r="C38" s="165">
        <v>24188</v>
      </c>
      <c r="E38" s="16"/>
      <c r="F38" s="16"/>
      <c r="G38" s="165"/>
      <c r="H38" s="239"/>
    </row>
    <row r="39" spans="1:8" x14ac:dyDescent="0.3">
      <c r="A39" s="16" t="s">
        <v>553</v>
      </c>
      <c r="B39" s="16"/>
      <c r="C39" s="166">
        <f>+C37+C38</f>
        <v>34256</v>
      </c>
      <c r="E39" s="16"/>
      <c r="F39" s="16"/>
      <c r="G39" s="166"/>
      <c r="H39" s="239"/>
    </row>
    <row r="40" spans="1:8" x14ac:dyDescent="0.3">
      <c r="A40" s="16"/>
      <c r="B40" s="16"/>
      <c r="E40" s="16"/>
      <c r="F40" s="16"/>
    </row>
    <row r="41" spans="1:8" x14ac:dyDescent="0.3">
      <c r="A41" s="90"/>
      <c r="B41" s="90"/>
      <c r="F41" s="240"/>
    </row>
    <row r="42" spans="1:8" x14ac:dyDescent="0.3">
      <c r="A42" s="15" t="s">
        <v>463</v>
      </c>
    </row>
    <row r="43" spans="1:8" x14ac:dyDescent="0.3">
      <c r="A43" s="15" t="s">
        <v>466</v>
      </c>
    </row>
    <row r="44" spans="1:8" x14ac:dyDescent="0.3">
      <c r="A44" s="16" t="s">
        <v>467</v>
      </c>
    </row>
    <row r="45" spans="1:8" x14ac:dyDescent="0.3">
      <c r="A45" s="15" t="s">
        <v>464</v>
      </c>
    </row>
    <row r="46" spans="1:8" x14ac:dyDescent="0.3">
      <c r="A46" s="16" t="s">
        <v>465</v>
      </c>
    </row>
    <row r="47" spans="1:8" x14ac:dyDescent="0.3">
      <c r="A47" s="16" t="s">
        <v>510</v>
      </c>
    </row>
    <row r="48" spans="1:8" x14ac:dyDescent="0.3">
      <c r="A48" s="16" t="s">
        <v>511</v>
      </c>
    </row>
    <row r="49" spans="1:1" x14ac:dyDescent="0.3">
      <c r="A49" s="16" t="s">
        <v>512</v>
      </c>
    </row>
    <row r="50" spans="1:1" x14ac:dyDescent="0.3">
      <c r="A50" s="16" t="s">
        <v>513</v>
      </c>
    </row>
    <row r="51" spans="1:1" x14ac:dyDescent="0.3">
      <c r="A51" s="16"/>
    </row>
  </sheetData>
  <mergeCells count="2">
    <mergeCell ref="A5:B5"/>
    <mergeCell ref="A13:B13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4">
    <tabColor indexed="13"/>
  </sheetPr>
  <dimension ref="A1:N71"/>
  <sheetViews>
    <sheetView zoomScaleNormal="100" zoomScaleSheetLayoutView="100" workbookViewId="0">
      <selection activeCell="D5" sqref="D5:E5"/>
    </sheetView>
  </sheetViews>
  <sheetFormatPr defaultColWidth="8.8984375" defaultRowHeight="13.8" x14ac:dyDescent="0.25"/>
  <cols>
    <col min="1" max="1" width="3.09765625" style="6" customWidth="1"/>
    <col min="2" max="2" width="23.19921875" style="6" bestFit="1" customWidth="1"/>
    <col min="3" max="3" width="2.5" style="6" customWidth="1"/>
    <col min="4" max="4" width="9.59765625" style="6" customWidth="1"/>
    <col min="5" max="5" width="8" style="6" bestFit="1" customWidth="1"/>
    <col min="6" max="6" width="1.59765625" style="6" customWidth="1"/>
    <col min="7" max="7" width="9.59765625" style="6" customWidth="1"/>
    <col min="8" max="8" width="7.59765625" style="9" customWidth="1"/>
    <col min="9" max="9" width="1.59765625" style="9" customWidth="1"/>
    <col min="10" max="10" width="9.59765625" style="9" customWidth="1"/>
    <col min="11" max="11" width="7.59765625" style="6" hidden="1" customWidth="1"/>
    <col min="12" max="12" width="8" style="6" bestFit="1" customWidth="1"/>
    <col min="13" max="16384" width="8.8984375" style="6"/>
  </cols>
  <sheetData>
    <row r="1" spans="1:14" x14ac:dyDescent="0.25">
      <c r="A1" s="16"/>
      <c r="B1" s="16"/>
      <c r="C1" s="16"/>
      <c r="D1" s="16"/>
      <c r="E1" s="16"/>
      <c r="F1" s="16"/>
      <c r="G1" s="16"/>
    </row>
    <row r="2" spans="1:14" ht="22.8" x14ac:dyDescent="0.4">
      <c r="A2" s="54">
        <v>2</v>
      </c>
      <c r="B2" s="54" t="s">
        <v>275</v>
      </c>
      <c r="C2" s="16"/>
      <c r="D2" s="16"/>
      <c r="E2" s="16"/>
      <c r="F2" s="16"/>
      <c r="G2" s="16"/>
    </row>
    <row r="3" spans="1:14" x14ac:dyDescent="0.25">
      <c r="A3" s="20"/>
      <c r="B3" s="16"/>
      <c r="C3" s="16"/>
      <c r="D3" s="16"/>
      <c r="E3" s="16"/>
      <c r="F3" s="16"/>
      <c r="G3" s="16"/>
    </row>
    <row r="4" spans="1:14" x14ac:dyDescent="0.25">
      <c r="A4" s="16"/>
      <c r="B4" s="16"/>
      <c r="C4" s="16"/>
      <c r="D4" s="16"/>
      <c r="E4" s="16"/>
      <c r="F4" s="16"/>
      <c r="G4" s="16"/>
    </row>
    <row r="5" spans="1:14" x14ac:dyDescent="0.25">
      <c r="A5" s="33"/>
      <c r="B5" s="33"/>
      <c r="C5" s="33"/>
      <c r="D5" s="390" t="s">
        <v>637</v>
      </c>
      <c r="E5" s="390"/>
      <c r="F5" s="34"/>
      <c r="G5" s="389" t="s">
        <v>639</v>
      </c>
      <c r="H5" s="389"/>
      <c r="I5" s="34"/>
      <c r="J5" s="388" t="s">
        <v>560</v>
      </c>
      <c r="K5" s="388"/>
      <c r="L5" s="388"/>
      <c r="M5" s="103"/>
    </row>
    <row r="6" spans="1:14" x14ac:dyDescent="0.25">
      <c r="A6" s="16"/>
      <c r="B6" s="16"/>
      <c r="C6" s="16"/>
      <c r="D6" s="32" t="s">
        <v>256</v>
      </c>
      <c r="E6" s="32" t="s">
        <v>276</v>
      </c>
      <c r="F6" s="32"/>
      <c r="G6" s="39" t="s">
        <v>256</v>
      </c>
      <c r="H6" s="39" t="s">
        <v>276</v>
      </c>
      <c r="I6" s="86"/>
      <c r="J6" s="39" t="s">
        <v>256</v>
      </c>
      <c r="K6" s="39" t="s">
        <v>276</v>
      </c>
      <c r="L6" s="39" t="s">
        <v>276</v>
      </c>
      <c r="M6" s="103"/>
    </row>
    <row r="7" spans="1:14" ht="14.4" x14ac:dyDescent="0.3">
      <c r="A7" s="26"/>
      <c r="B7" s="16"/>
      <c r="C7" s="16"/>
      <c r="D7" s="16"/>
      <c r="E7" s="16"/>
      <c r="F7" s="16"/>
      <c r="G7" s="38"/>
      <c r="H7" s="28"/>
      <c r="I7" s="23"/>
      <c r="J7" s="28"/>
      <c r="K7" s="38"/>
      <c r="L7" s="38"/>
      <c r="M7" s="103"/>
      <c r="N7" s="103"/>
    </row>
    <row r="8" spans="1:14" x14ac:dyDescent="0.25">
      <c r="A8" s="16" t="s">
        <v>267</v>
      </c>
      <c r="B8" s="16"/>
      <c r="C8" s="16"/>
      <c r="D8" s="94" t="e">
        <f>Exploitatie!B6</f>
        <v>#REF!</v>
      </c>
      <c r="E8" s="203" t="e">
        <f>ROUND(D8/($D$18/100),1)</f>
        <v>#REF!</v>
      </c>
      <c r="F8" s="94"/>
      <c r="G8" s="94">
        <v>709905</v>
      </c>
      <c r="H8" s="203">
        <f>ROUND(G8/($G$18/100),1)</f>
        <v>24.2</v>
      </c>
      <c r="I8" s="94"/>
      <c r="J8" s="94">
        <f>Exploitatie!H6</f>
        <v>644436.75</v>
      </c>
      <c r="K8" s="94"/>
      <c r="L8" s="203">
        <f>ROUND(J8/($J$18/100),1)</f>
        <v>25.8</v>
      </c>
      <c r="M8" s="103"/>
      <c r="N8" s="49"/>
    </row>
    <row r="9" spans="1:14" x14ac:dyDescent="0.25">
      <c r="A9" s="16" t="s">
        <v>417</v>
      </c>
      <c r="B9" s="16"/>
      <c r="C9" s="16"/>
      <c r="D9" s="94" t="e">
        <f>Exploitatie!B7</f>
        <v>#REF!</v>
      </c>
      <c r="E9" s="203" t="e">
        <f>ROUND(D9/($D$18/100),1)</f>
        <v>#REF!</v>
      </c>
      <c r="F9" s="94"/>
      <c r="G9" s="94">
        <v>235480</v>
      </c>
      <c r="H9" s="203">
        <f>ROUND(G9/($G$18/100),1)</f>
        <v>8</v>
      </c>
      <c r="I9" s="94"/>
      <c r="J9" s="94">
        <f>Exploitatie!H7</f>
        <v>88560</v>
      </c>
      <c r="K9" s="94"/>
      <c r="L9" s="203">
        <f>ROUND(J9/($J$18/100),1)</f>
        <v>3.6</v>
      </c>
      <c r="M9" s="103"/>
      <c r="N9" s="49"/>
    </row>
    <row r="10" spans="1:14" x14ac:dyDescent="0.25">
      <c r="A10" s="16" t="s">
        <v>622</v>
      </c>
      <c r="B10" s="16"/>
      <c r="C10" s="16"/>
      <c r="D10" s="94" t="e">
        <f>Exploitatie!B8</f>
        <v>#REF!</v>
      </c>
      <c r="E10" s="203" t="e">
        <f t="shared" ref="E10:E11" si="0">ROUND(D10/($D$18/100),1)</f>
        <v>#REF!</v>
      </c>
      <c r="F10" s="94"/>
      <c r="G10" s="94">
        <v>18031</v>
      </c>
      <c r="H10" s="203">
        <f t="shared" ref="H10:H11" si="1">ROUND(G10/($G$18/100),1)</f>
        <v>0.6</v>
      </c>
      <c r="I10" s="94"/>
      <c r="J10" s="94">
        <v>10811</v>
      </c>
      <c r="K10" s="94"/>
      <c r="L10" s="203">
        <f t="shared" ref="L10:L11" si="2">ROUND(J10/($J$18/100),1)</f>
        <v>0.4</v>
      </c>
      <c r="M10" s="103"/>
      <c r="N10" s="49"/>
    </row>
    <row r="11" spans="1:14" x14ac:dyDescent="0.25">
      <c r="A11" s="16" t="s">
        <v>666</v>
      </c>
      <c r="B11" s="16"/>
      <c r="C11" s="16"/>
      <c r="D11" s="94" t="e">
        <f>Exploitatie!B9</f>
        <v>#REF!</v>
      </c>
      <c r="E11" s="203" t="e">
        <f t="shared" si="0"/>
        <v>#REF!</v>
      </c>
      <c r="F11" s="94"/>
      <c r="G11" s="94">
        <v>16000</v>
      </c>
      <c r="H11" s="203">
        <f t="shared" si="1"/>
        <v>0.5</v>
      </c>
      <c r="I11" s="94"/>
      <c r="J11" s="94">
        <v>0</v>
      </c>
      <c r="K11" s="94"/>
      <c r="L11" s="203">
        <f t="shared" si="2"/>
        <v>0</v>
      </c>
      <c r="M11" s="103"/>
      <c r="N11" s="49"/>
    </row>
    <row r="12" spans="1:14" x14ac:dyDescent="0.25">
      <c r="A12" s="16" t="s">
        <v>505</v>
      </c>
      <c r="B12" s="16"/>
      <c r="C12" s="16"/>
      <c r="D12" s="94" t="e">
        <f>Exploitatie!B10</f>
        <v>#REF!</v>
      </c>
      <c r="E12" s="203" t="e">
        <f t="shared" ref="E12:E17" si="3">ROUND(D12/($D$18/100),1)</f>
        <v>#REF!</v>
      </c>
      <c r="F12" s="94"/>
      <c r="G12" s="94">
        <v>846870</v>
      </c>
      <c r="H12" s="203">
        <f t="shared" ref="H12:H17" si="4">ROUND(G12/($G$18/100),1)</f>
        <v>28.9</v>
      </c>
      <c r="I12" s="94"/>
      <c r="J12" s="94">
        <f>Exploitatie!H10</f>
        <v>752384</v>
      </c>
      <c r="K12" s="94"/>
      <c r="L12" s="203">
        <f t="shared" ref="L12:L17" si="5">ROUND(J12/($J$18/100),1)</f>
        <v>30.2</v>
      </c>
      <c r="M12" s="103"/>
      <c r="N12" s="49"/>
    </row>
    <row r="13" spans="1:14" x14ac:dyDescent="0.25">
      <c r="A13" s="16" t="s">
        <v>277</v>
      </c>
      <c r="B13" s="16"/>
      <c r="C13" s="16"/>
      <c r="D13" s="94" t="e">
        <f>Exploitatie!B11</f>
        <v>#REF!</v>
      </c>
      <c r="E13" s="203" t="e">
        <f t="shared" si="3"/>
        <v>#REF!</v>
      </c>
      <c r="F13" s="94"/>
      <c r="G13" s="94">
        <v>501140</v>
      </c>
      <c r="H13" s="203">
        <f t="shared" si="4"/>
        <v>17.100000000000001</v>
      </c>
      <c r="I13" s="94"/>
      <c r="J13" s="94">
        <f>Exploitatie!H11</f>
        <v>469211.48</v>
      </c>
      <c r="K13" s="94"/>
      <c r="L13" s="203">
        <f t="shared" si="5"/>
        <v>18.8</v>
      </c>
      <c r="M13" s="103"/>
      <c r="N13" s="49"/>
    </row>
    <row r="14" spans="1:14" x14ac:dyDescent="0.25">
      <c r="A14" s="16" t="s">
        <v>278</v>
      </c>
      <c r="B14" s="16"/>
      <c r="C14" s="16"/>
      <c r="D14" s="94" t="e">
        <f>Exploitatie!B12</f>
        <v>#REF!</v>
      </c>
      <c r="E14" s="203" t="e">
        <f t="shared" si="3"/>
        <v>#REF!</v>
      </c>
      <c r="F14" s="94"/>
      <c r="G14" s="94">
        <v>221250</v>
      </c>
      <c r="H14" s="203">
        <f t="shared" si="4"/>
        <v>7.6</v>
      </c>
      <c r="I14" s="94"/>
      <c r="J14" s="94">
        <f>Exploitatie!H12</f>
        <v>189434</v>
      </c>
      <c r="K14" s="94"/>
      <c r="L14" s="203">
        <f t="shared" si="5"/>
        <v>7.6</v>
      </c>
      <c r="M14" s="103"/>
      <c r="N14" s="49"/>
    </row>
    <row r="15" spans="1:14" x14ac:dyDescent="0.25">
      <c r="A15" s="16" t="s">
        <v>280</v>
      </c>
      <c r="B15" s="23"/>
      <c r="C15" s="23"/>
      <c r="D15" s="94" t="e">
        <f>Exploitatie!B13</f>
        <v>#REF!</v>
      </c>
      <c r="E15" s="203" t="e">
        <f t="shared" si="3"/>
        <v>#REF!</v>
      </c>
      <c r="F15" s="94"/>
      <c r="G15" s="94">
        <v>153435</v>
      </c>
      <c r="H15" s="203">
        <f t="shared" si="4"/>
        <v>5.2</v>
      </c>
      <c r="I15" s="94"/>
      <c r="J15" s="94">
        <f>Exploitatie!H13</f>
        <v>137380</v>
      </c>
      <c r="K15" s="94"/>
      <c r="L15" s="203">
        <f t="shared" si="5"/>
        <v>5.5</v>
      </c>
      <c r="M15" s="103"/>
      <c r="N15" s="49"/>
    </row>
    <row r="16" spans="1:14" x14ac:dyDescent="0.25">
      <c r="A16" s="16" t="s">
        <v>392</v>
      </c>
      <c r="B16" s="23"/>
      <c r="C16" s="23"/>
      <c r="D16" s="94" t="e">
        <f>Exploitatie!B14</f>
        <v>#REF!</v>
      </c>
      <c r="E16" s="203" t="e">
        <f t="shared" si="3"/>
        <v>#REF!</v>
      </c>
      <c r="F16" s="94"/>
      <c r="G16" s="94">
        <v>59200</v>
      </c>
      <c r="H16" s="203">
        <f t="shared" si="4"/>
        <v>2</v>
      </c>
      <c r="I16" s="94"/>
      <c r="J16" s="94">
        <f>Exploitatie!H14</f>
        <v>55784</v>
      </c>
      <c r="K16" s="94"/>
      <c r="L16" s="203">
        <f t="shared" si="5"/>
        <v>2.2000000000000002</v>
      </c>
      <c r="M16" s="103"/>
      <c r="N16" s="49"/>
    </row>
    <row r="17" spans="1:14" x14ac:dyDescent="0.25">
      <c r="A17" s="35" t="s">
        <v>281</v>
      </c>
      <c r="B17" s="16"/>
      <c r="C17" s="16"/>
      <c r="D17" s="188" t="e">
        <f>Exploitatie!B15</f>
        <v>#REF!</v>
      </c>
      <c r="E17" s="204" t="e">
        <f t="shared" si="3"/>
        <v>#REF!</v>
      </c>
      <c r="F17" s="188"/>
      <c r="G17" s="188">
        <v>166664</v>
      </c>
      <c r="H17" s="204">
        <f t="shared" si="4"/>
        <v>5.7</v>
      </c>
      <c r="I17" s="188"/>
      <c r="J17" s="188">
        <f>Exploitatie!H15</f>
        <v>146023.47</v>
      </c>
      <c r="K17" s="188"/>
      <c r="L17" s="204">
        <f t="shared" si="5"/>
        <v>5.9</v>
      </c>
      <c r="M17" s="103"/>
      <c r="N17" s="49"/>
    </row>
    <row r="18" spans="1:14" x14ac:dyDescent="0.25">
      <c r="A18" s="36" t="s">
        <v>223</v>
      </c>
      <c r="B18" s="16"/>
      <c r="C18" s="16"/>
      <c r="D18" s="201" t="e">
        <f>SUM(D8:D17)</f>
        <v>#REF!</v>
      </c>
      <c r="E18" s="205" t="e">
        <f>SUM(E8:E17)+0.1</f>
        <v>#REF!</v>
      </c>
      <c r="F18" s="201"/>
      <c r="G18" s="201">
        <f>SUM(G8:G17)</f>
        <v>2927975</v>
      </c>
      <c r="H18" s="205">
        <f>SUM(H8:H17)</f>
        <v>99.800000000000011</v>
      </c>
      <c r="I18" s="201"/>
      <c r="J18" s="201">
        <f>SUM(J8:J17)</f>
        <v>2494024.7000000002</v>
      </c>
      <c r="K18" s="201">
        <f>SUM(K8:K17)</f>
        <v>0</v>
      </c>
      <c r="L18" s="205">
        <f>SUM(L8:L17)+0.1</f>
        <v>100.1</v>
      </c>
      <c r="M18" s="103"/>
      <c r="N18" s="103"/>
    </row>
    <row r="19" spans="1:14" x14ac:dyDescent="0.25">
      <c r="A19" s="16"/>
      <c r="B19" s="24"/>
      <c r="C19" s="23"/>
      <c r="D19" s="202"/>
      <c r="E19" s="206"/>
      <c r="F19" s="202"/>
      <c r="G19" s="202"/>
      <c r="H19" s="206"/>
      <c r="I19" s="202"/>
      <c r="J19" s="202"/>
      <c r="K19" s="202"/>
      <c r="L19" s="206"/>
      <c r="M19" s="137"/>
    </row>
    <row r="20" spans="1:14" x14ac:dyDescent="0.25">
      <c r="A20" s="42" t="s">
        <v>268</v>
      </c>
      <c r="B20" s="24"/>
      <c r="C20" s="23"/>
      <c r="D20" s="94" t="e">
        <f>Exploitatie!B18</f>
        <v>#REF!</v>
      </c>
      <c r="E20" s="203" t="e">
        <f t="shared" ref="E20:E34" si="6">ROUND(D20/($D$18/100),1)</f>
        <v>#REF!</v>
      </c>
      <c r="F20" s="94"/>
      <c r="G20" s="94">
        <v>313335</v>
      </c>
      <c r="H20" s="203">
        <f t="shared" ref="H20:H29" si="7">ROUND(G20/($G$18/100),1)</f>
        <v>10.7</v>
      </c>
      <c r="I20" s="94"/>
      <c r="J20" s="94">
        <f>Exploitatie!H18</f>
        <v>315768.16000000003</v>
      </c>
      <c r="K20" s="94"/>
      <c r="L20" s="203">
        <f t="shared" ref="L20:L37" si="8">ROUND(J20/($J$18/100),1)</f>
        <v>12.7</v>
      </c>
      <c r="M20" s="103"/>
    </row>
    <row r="21" spans="1:14" x14ac:dyDescent="0.25">
      <c r="A21" s="42" t="s">
        <v>266</v>
      </c>
      <c r="B21" s="24"/>
      <c r="C21" s="23"/>
      <c r="D21" s="94" t="e">
        <f>Exploitatie!B19</f>
        <v>#REF!</v>
      </c>
      <c r="E21" s="203" t="e">
        <f t="shared" si="6"/>
        <v>#REF!</v>
      </c>
      <c r="F21" s="94"/>
      <c r="G21" s="94">
        <v>40000</v>
      </c>
      <c r="H21" s="203">
        <f t="shared" si="7"/>
        <v>1.4</v>
      </c>
      <c r="I21" s="94"/>
      <c r="J21" s="94">
        <f>Exploitatie!H19</f>
        <v>33757</v>
      </c>
      <c r="K21" s="94"/>
      <c r="L21" s="203">
        <f t="shared" si="8"/>
        <v>1.4</v>
      </c>
      <c r="M21" s="103"/>
    </row>
    <row r="22" spans="1:14" x14ac:dyDescent="0.25">
      <c r="A22" s="42" t="s">
        <v>300</v>
      </c>
      <c r="B22" s="24"/>
      <c r="C22" s="23"/>
      <c r="D22" s="94" t="e">
        <f>Exploitatie!B20</f>
        <v>#REF!</v>
      </c>
      <c r="E22" s="203" t="e">
        <f t="shared" si="6"/>
        <v>#REF!</v>
      </c>
      <c r="F22" s="94"/>
      <c r="G22" s="94">
        <v>19877</v>
      </c>
      <c r="H22" s="203">
        <f t="shared" si="7"/>
        <v>0.7</v>
      </c>
      <c r="I22" s="94"/>
      <c r="J22" s="94">
        <f>Exploitatie!H20</f>
        <v>18634</v>
      </c>
      <c r="K22" s="94"/>
      <c r="L22" s="203">
        <f t="shared" si="8"/>
        <v>0.7</v>
      </c>
      <c r="M22" s="103"/>
    </row>
    <row r="23" spans="1:14" x14ac:dyDescent="0.25">
      <c r="A23" s="16" t="s">
        <v>301</v>
      </c>
      <c r="B23" s="24"/>
      <c r="C23" s="23"/>
      <c r="D23" s="94" t="e">
        <f>Exploitatie!B21</f>
        <v>#REF!</v>
      </c>
      <c r="E23" s="203" t="e">
        <f t="shared" si="6"/>
        <v>#REF!</v>
      </c>
      <c r="F23" s="94"/>
      <c r="G23" s="94">
        <v>286785</v>
      </c>
      <c r="H23" s="203">
        <f t="shared" si="7"/>
        <v>9.8000000000000007</v>
      </c>
      <c r="I23" s="94"/>
      <c r="J23" s="94">
        <f>Exploitatie!H21</f>
        <v>302974</v>
      </c>
      <c r="K23" s="94"/>
      <c r="L23" s="203">
        <f t="shared" si="8"/>
        <v>12.1</v>
      </c>
      <c r="M23" s="103"/>
    </row>
    <row r="24" spans="1:14" x14ac:dyDescent="0.25">
      <c r="A24" s="16" t="s">
        <v>302</v>
      </c>
      <c r="B24" s="24"/>
      <c r="C24" s="23"/>
      <c r="D24" s="94" t="e">
        <f>Exploitatie!B22</f>
        <v>#REF!</v>
      </c>
      <c r="E24" s="203" t="e">
        <f t="shared" si="6"/>
        <v>#REF!</v>
      </c>
      <c r="F24" s="94"/>
      <c r="G24" s="94">
        <v>102500</v>
      </c>
      <c r="H24" s="203">
        <f t="shared" si="7"/>
        <v>3.5</v>
      </c>
      <c r="I24" s="94"/>
      <c r="J24" s="94">
        <f>Exploitatie!H22</f>
        <v>52223</v>
      </c>
      <c r="K24" s="94"/>
      <c r="L24" s="203">
        <f t="shared" si="8"/>
        <v>2.1</v>
      </c>
      <c r="M24" s="103"/>
    </row>
    <row r="25" spans="1:14" x14ac:dyDescent="0.25">
      <c r="A25" s="16" t="s">
        <v>269</v>
      </c>
      <c r="B25" s="24"/>
      <c r="C25" s="23"/>
      <c r="D25" s="94" t="e">
        <f>Exploitatie!B23</f>
        <v>#REF!</v>
      </c>
      <c r="E25" s="203" t="e">
        <f t="shared" si="6"/>
        <v>#REF!</v>
      </c>
      <c r="F25" s="94"/>
      <c r="G25" s="94">
        <v>56000</v>
      </c>
      <c r="H25" s="203">
        <f t="shared" si="7"/>
        <v>1.9</v>
      </c>
      <c r="I25" s="94"/>
      <c r="J25" s="94">
        <f>Exploitatie!H23</f>
        <v>62252</v>
      </c>
      <c r="K25" s="94"/>
      <c r="L25" s="203">
        <f t="shared" si="8"/>
        <v>2.5</v>
      </c>
      <c r="M25" s="103"/>
    </row>
    <row r="26" spans="1:14" x14ac:dyDescent="0.25">
      <c r="A26" s="27" t="s">
        <v>565</v>
      </c>
      <c r="B26" s="27"/>
      <c r="C26" s="27"/>
      <c r="D26" s="94" t="e">
        <f>Toelichting_expl!#REF!</f>
        <v>#REF!</v>
      </c>
      <c r="E26" s="203" t="e">
        <f t="shared" si="6"/>
        <v>#REF!</v>
      </c>
      <c r="F26" s="94"/>
      <c r="G26" s="94">
        <v>915855</v>
      </c>
      <c r="H26" s="203">
        <f t="shared" si="7"/>
        <v>31.3</v>
      </c>
      <c r="I26" s="94"/>
      <c r="J26" s="94">
        <f>Toelichting_expl!M164</f>
        <v>909709.5</v>
      </c>
      <c r="K26" s="94"/>
      <c r="L26" s="203">
        <f t="shared" si="8"/>
        <v>36.5</v>
      </c>
      <c r="M26" s="103"/>
    </row>
    <row r="27" spans="1:14" x14ac:dyDescent="0.25">
      <c r="A27" s="27" t="s">
        <v>572</v>
      </c>
      <c r="B27" s="27"/>
      <c r="C27" s="27"/>
      <c r="D27" s="94" t="e">
        <f>Toelichting_expl!#REF!</f>
        <v>#REF!</v>
      </c>
      <c r="E27" s="203" t="e">
        <f t="shared" si="6"/>
        <v>#REF!</v>
      </c>
      <c r="F27" s="94"/>
      <c r="G27" s="94">
        <v>315480</v>
      </c>
      <c r="H27" s="203">
        <f t="shared" si="7"/>
        <v>10.8</v>
      </c>
      <c r="I27" s="94"/>
      <c r="J27" s="94">
        <f>Toelichting_expl!M173</f>
        <v>255347.69</v>
      </c>
      <c r="K27" s="94"/>
      <c r="L27" s="203">
        <f t="shared" si="8"/>
        <v>10.199999999999999</v>
      </c>
      <c r="M27" s="103"/>
    </row>
    <row r="28" spans="1:14" x14ac:dyDescent="0.25">
      <c r="A28" s="16" t="s">
        <v>303</v>
      </c>
      <c r="B28" s="16"/>
      <c r="C28" s="16"/>
      <c r="D28" s="94" t="e">
        <f>Exploitatie!B26</f>
        <v>#REF!</v>
      </c>
      <c r="E28" s="203" t="e">
        <f t="shared" si="6"/>
        <v>#REF!</v>
      </c>
      <c r="F28" s="94"/>
      <c r="G28" s="94">
        <v>342760</v>
      </c>
      <c r="H28" s="203">
        <f t="shared" si="7"/>
        <v>11.7</v>
      </c>
      <c r="I28" s="94"/>
      <c r="J28" s="94">
        <f>Exploitatie!H26</f>
        <v>342901</v>
      </c>
      <c r="K28" s="94"/>
      <c r="L28" s="203">
        <f t="shared" si="8"/>
        <v>13.7</v>
      </c>
      <c r="M28" s="103"/>
    </row>
    <row r="29" spans="1:14" ht="15" customHeight="1" x14ac:dyDescent="0.25">
      <c r="A29" s="16" t="s">
        <v>304</v>
      </c>
      <c r="B29" s="16"/>
      <c r="C29" s="23"/>
      <c r="D29" s="94" t="e">
        <f>Exploitatie!B27</f>
        <v>#REF!</v>
      </c>
      <c r="E29" s="203" t="e">
        <f t="shared" si="6"/>
        <v>#REF!</v>
      </c>
      <c r="F29" s="94"/>
      <c r="G29" s="94">
        <v>92500</v>
      </c>
      <c r="H29" s="203">
        <f t="shared" si="7"/>
        <v>3.2</v>
      </c>
      <c r="I29" s="94"/>
      <c r="J29" s="94">
        <f>Exploitatie!H27</f>
        <v>71267</v>
      </c>
      <c r="K29" s="94"/>
      <c r="L29" s="203">
        <f t="shared" si="8"/>
        <v>2.9</v>
      </c>
      <c r="M29" s="103"/>
    </row>
    <row r="30" spans="1:14" x14ac:dyDescent="0.25">
      <c r="A30" s="16" t="s">
        <v>417</v>
      </c>
      <c r="B30" s="23"/>
      <c r="C30" s="23"/>
      <c r="D30" s="94" t="e">
        <f>Exploitatie!B28</f>
        <v>#REF!</v>
      </c>
      <c r="E30" s="203" t="e">
        <f t="shared" si="6"/>
        <v>#REF!</v>
      </c>
      <c r="F30" s="94"/>
      <c r="G30" s="201">
        <v>254650</v>
      </c>
      <c r="H30" s="203">
        <f>ROUND(G33/($G$18/100),1)</f>
        <v>3.7</v>
      </c>
      <c r="I30" s="94"/>
      <c r="J30" s="94">
        <f>Exploitatie!H28</f>
        <v>97693.2</v>
      </c>
      <c r="K30" s="94"/>
      <c r="L30" s="203">
        <f t="shared" si="8"/>
        <v>3.9</v>
      </c>
      <c r="M30" s="103"/>
    </row>
    <row r="31" spans="1:14" x14ac:dyDescent="0.25">
      <c r="A31" s="16" t="s">
        <v>622</v>
      </c>
      <c r="B31" s="23"/>
      <c r="C31" s="23"/>
      <c r="D31" s="94" t="e">
        <f>Exploitatie!B29</f>
        <v>#REF!</v>
      </c>
      <c r="E31" s="203" t="e">
        <f t="shared" si="6"/>
        <v>#REF!</v>
      </c>
      <c r="F31" s="94"/>
      <c r="G31" s="94">
        <v>32150</v>
      </c>
      <c r="H31" s="203">
        <f t="shared" ref="H31:H36" si="9">ROUND(G34/($G$18/100),1)</f>
        <v>0.3</v>
      </c>
      <c r="I31" s="94"/>
      <c r="J31" s="94">
        <v>27764</v>
      </c>
      <c r="K31" s="94"/>
      <c r="L31" s="203">
        <f t="shared" si="8"/>
        <v>1.1000000000000001</v>
      </c>
      <c r="M31" s="103"/>
    </row>
    <row r="32" spans="1:14" x14ac:dyDescent="0.25">
      <c r="A32" s="16" t="s">
        <v>671</v>
      </c>
      <c r="B32" s="23"/>
      <c r="C32" s="23"/>
      <c r="D32" s="94" t="e">
        <f>Exploitatie!B30</f>
        <v>#REF!</v>
      </c>
      <c r="E32" s="203" t="e">
        <f t="shared" si="6"/>
        <v>#REF!</v>
      </c>
      <c r="F32" s="94"/>
      <c r="G32" s="94">
        <v>26000</v>
      </c>
      <c r="H32" s="203">
        <f t="shared" si="9"/>
        <v>0</v>
      </c>
      <c r="I32" s="94"/>
      <c r="J32" s="94">
        <v>0</v>
      </c>
      <c r="K32" s="94"/>
      <c r="L32" s="203">
        <f t="shared" si="8"/>
        <v>0</v>
      </c>
      <c r="M32" s="103"/>
    </row>
    <row r="33" spans="1:13" ht="15.75" customHeight="1" x14ac:dyDescent="0.25">
      <c r="A33" s="16" t="s">
        <v>305</v>
      </c>
      <c r="B33" s="23"/>
      <c r="C33" s="23"/>
      <c r="D33" s="94" t="e">
        <f>Exploitatie!B31</f>
        <v>#REF!</v>
      </c>
      <c r="E33" s="203" t="e">
        <f t="shared" si="6"/>
        <v>#REF!</v>
      </c>
      <c r="F33" s="94"/>
      <c r="G33" s="94">
        <v>107320</v>
      </c>
      <c r="H33" s="203">
        <f t="shared" si="9"/>
        <v>99.6</v>
      </c>
      <c r="I33" s="94"/>
      <c r="J33" s="94">
        <f>Exploitatie!H31</f>
        <v>62384.4</v>
      </c>
      <c r="K33" s="94"/>
      <c r="L33" s="203">
        <f t="shared" si="8"/>
        <v>2.5</v>
      </c>
      <c r="M33" s="103"/>
    </row>
    <row r="34" spans="1:13" x14ac:dyDescent="0.25">
      <c r="A34" s="16" t="s">
        <v>90</v>
      </c>
      <c r="B34" s="23"/>
      <c r="C34" s="23"/>
      <c r="D34" s="208">
        <v>0</v>
      </c>
      <c r="E34" s="204" t="e">
        <f t="shared" si="6"/>
        <v>#REF!</v>
      </c>
      <c r="F34" s="201"/>
      <c r="G34" s="188">
        <v>10000</v>
      </c>
      <c r="H34" s="204">
        <f t="shared" si="9"/>
        <v>0.4</v>
      </c>
      <c r="I34" s="201"/>
      <c r="J34" s="208">
        <v>0</v>
      </c>
      <c r="K34" s="208"/>
      <c r="L34" s="204">
        <f t="shared" ref="L34" si="10">ROUND(J35/($J$18/100),1)</f>
        <v>0</v>
      </c>
      <c r="M34" s="103"/>
    </row>
    <row r="35" spans="1:13" x14ac:dyDescent="0.25">
      <c r="A35" s="16"/>
      <c r="B35" s="23"/>
      <c r="C35" s="23"/>
      <c r="D35" s="201"/>
      <c r="E35" s="205"/>
      <c r="F35" s="201"/>
      <c r="G35" s="94"/>
      <c r="H35" s="205"/>
      <c r="I35" s="201"/>
      <c r="J35" s="201"/>
      <c r="K35" s="201"/>
      <c r="L35" s="205"/>
      <c r="M35" s="103"/>
    </row>
    <row r="36" spans="1:13" x14ac:dyDescent="0.25">
      <c r="A36" s="15" t="s">
        <v>225</v>
      </c>
      <c r="B36" s="23"/>
      <c r="C36" s="23"/>
      <c r="D36" s="94" t="e">
        <f>SUM(D20:D34)</f>
        <v>#REF!</v>
      </c>
      <c r="E36" s="203" t="e">
        <f>SUM(E20:E33)</f>
        <v>#REF!</v>
      </c>
      <c r="F36" s="94"/>
      <c r="G36" s="94">
        <f>SUM(G20:G34)</f>
        <v>2915212</v>
      </c>
      <c r="H36" s="203">
        <f t="shared" si="9"/>
        <v>0.4</v>
      </c>
      <c r="I36" s="94"/>
      <c r="J36" s="94">
        <f>SUM(J20:J34)</f>
        <v>2552674.9500000002</v>
      </c>
      <c r="K36" s="94">
        <f>SUM(K20:K33)</f>
        <v>0</v>
      </c>
      <c r="L36" s="203">
        <f t="shared" ref="L36" si="11">ROUND(J37/($J$18/100),1)</f>
        <v>-2.4</v>
      </c>
      <c r="M36" s="103"/>
    </row>
    <row r="37" spans="1:13" x14ac:dyDescent="0.25">
      <c r="A37" s="15" t="s">
        <v>307</v>
      </c>
      <c r="B37" s="23"/>
      <c r="C37" s="28"/>
      <c r="D37" s="94" t="e">
        <f>D18-D36</f>
        <v>#REF!</v>
      </c>
      <c r="E37" s="203" t="e">
        <f>D37/(D$18/100)</f>
        <v>#REF!</v>
      </c>
      <c r="F37" s="94"/>
      <c r="G37" s="94">
        <f>G18-G36</f>
        <v>12763</v>
      </c>
      <c r="H37" s="203">
        <f t="shared" ref="H37:H40" si="12">ROUND(G37/($G$18/100),1)</f>
        <v>0.4</v>
      </c>
      <c r="I37" s="94"/>
      <c r="J37" s="94">
        <f>J18-J36</f>
        <v>-58650.25</v>
      </c>
      <c r="K37" s="94">
        <f>K18-K36</f>
        <v>0</v>
      </c>
      <c r="L37" s="203">
        <f t="shared" si="8"/>
        <v>-2.4</v>
      </c>
      <c r="M37" s="103"/>
    </row>
    <row r="38" spans="1:13" x14ac:dyDescent="0.25">
      <c r="A38" s="28"/>
      <c r="B38" s="23"/>
      <c r="C38" s="23"/>
      <c r="D38" s="188"/>
      <c r="E38" s="204"/>
      <c r="F38" s="188"/>
      <c r="G38" s="188"/>
      <c r="H38" s="204"/>
      <c r="I38" s="188"/>
      <c r="J38" s="188"/>
      <c r="K38" s="188"/>
      <c r="L38" s="204"/>
      <c r="M38" s="103"/>
    </row>
    <row r="39" spans="1:13" x14ac:dyDescent="0.25">
      <c r="A39" s="182" t="s">
        <v>364</v>
      </c>
      <c r="B39" s="23"/>
      <c r="C39" s="28"/>
      <c r="D39" s="94" t="e">
        <f>D37+D38</f>
        <v>#REF!</v>
      </c>
      <c r="E39" s="203" t="e">
        <f>SUM(E37:E38)</f>
        <v>#REF!</v>
      </c>
      <c r="F39" s="94"/>
      <c r="G39" s="94">
        <f>G37+G38</f>
        <v>12763</v>
      </c>
      <c r="H39" s="203">
        <f>SUM(H37:H38)</f>
        <v>0.4</v>
      </c>
      <c r="I39" s="94"/>
      <c r="J39" s="94">
        <f>J37+J38</f>
        <v>-58650.25</v>
      </c>
      <c r="K39" s="94"/>
      <c r="L39" s="203">
        <f>SUM(L37:L38)</f>
        <v>-2.4</v>
      </c>
      <c r="M39" s="103"/>
    </row>
    <row r="40" spans="1:13" x14ac:dyDescent="0.25">
      <c r="A40" s="16" t="s">
        <v>308</v>
      </c>
      <c r="B40" s="23"/>
      <c r="C40" s="28"/>
      <c r="D40" s="94" t="e">
        <f>Exploitatie!C36</f>
        <v>#REF!</v>
      </c>
      <c r="E40" s="203" t="e">
        <f>ROUND(D40/($D$18/100),1)</f>
        <v>#REF!</v>
      </c>
      <c r="F40" s="94"/>
      <c r="G40" s="188">
        <v>-2300</v>
      </c>
      <c r="H40" s="203">
        <f t="shared" si="12"/>
        <v>-0.1</v>
      </c>
      <c r="I40" s="94"/>
      <c r="J40" s="94">
        <f>Exploitatie!I36</f>
        <v>-2495</v>
      </c>
      <c r="K40" s="94"/>
      <c r="L40" s="203">
        <f>ROUND(J40/($J$18/100),1)+0.1</f>
        <v>0</v>
      </c>
      <c r="M40" s="103"/>
    </row>
    <row r="41" spans="1:13" ht="14.4" thickBot="1" x14ac:dyDescent="0.3">
      <c r="A41" s="15" t="s">
        <v>309</v>
      </c>
      <c r="B41" s="23"/>
      <c r="C41" s="28"/>
      <c r="D41" s="110" t="e">
        <f>SUM(D39:D40)</f>
        <v>#REF!</v>
      </c>
      <c r="E41" s="207" t="e">
        <f>SUM(E39:E40)</f>
        <v>#REF!</v>
      </c>
      <c r="F41" s="110"/>
      <c r="G41" s="110">
        <f>SUM(G39:G40)</f>
        <v>10463</v>
      </c>
      <c r="H41" s="207">
        <f>SUM(H39:H40)</f>
        <v>0.30000000000000004</v>
      </c>
      <c r="I41" s="110"/>
      <c r="J41" s="110">
        <f>SUM(J39:J40)</f>
        <v>-61145.25</v>
      </c>
      <c r="K41" s="110">
        <f>K37+K40</f>
        <v>0</v>
      </c>
      <c r="L41" s="207">
        <f>SUM(L39:L40)</f>
        <v>-2.4</v>
      </c>
      <c r="M41" s="103"/>
    </row>
    <row r="42" spans="1:13" ht="14.4" thickTop="1" x14ac:dyDescent="0.25">
      <c r="A42" s="16"/>
      <c r="B42" s="23"/>
      <c r="C42" s="28"/>
      <c r="D42" s="23"/>
      <c r="E42" s="23"/>
      <c r="F42" s="28"/>
      <c r="G42" s="201"/>
      <c r="I42" s="183"/>
    </row>
    <row r="43" spans="1:13" x14ac:dyDescent="0.25">
      <c r="A43" s="42"/>
      <c r="B43" s="42"/>
      <c r="C43" s="49"/>
      <c r="D43" s="23"/>
      <c r="E43" s="23"/>
      <c r="F43" s="143"/>
      <c r="G43" s="202"/>
    </row>
    <row r="44" spans="1:13" x14ac:dyDescent="0.25">
      <c r="A44" s="24"/>
      <c r="B44" s="23"/>
      <c r="C44" s="23"/>
      <c r="D44" s="23"/>
      <c r="E44" s="23"/>
      <c r="F44" s="143"/>
      <c r="G44" s="94"/>
    </row>
    <row r="45" spans="1:13" x14ac:dyDescent="0.25">
      <c r="A45" s="9"/>
      <c r="B45" s="16"/>
      <c r="C45" s="16"/>
      <c r="D45" s="16"/>
      <c r="E45" s="16"/>
      <c r="F45" s="145"/>
      <c r="G45" s="94"/>
    </row>
    <row r="46" spans="1:13" x14ac:dyDescent="0.25">
      <c r="A46" s="22"/>
      <c r="B46" s="23"/>
      <c r="C46" s="23"/>
      <c r="D46" s="23"/>
      <c r="E46" s="23"/>
      <c r="F46" s="143"/>
      <c r="G46" s="23"/>
    </row>
    <row r="47" spans="1:13" x14ac:dyDescent="0.25">
      <c r="A47" s="23"/>
      <c r="B47" s="23"/>
      <c r="C47" s="23"/>
      <c r="D47" s="23"/>
      <c r="E47" s="23"/>
      <c r="F47" s="143"/>
      <c r="G47" s="23"/>
    </row>
    <row r="48" spans="1:13" x14ac:dyDescent="0.25">
      <c r="A48" s="23"/>
      <c r="B48" s="23"/>
      <c r="C48" s="23"/>
      <c r="D48" s="23"/>
      <c r="E48" s="23"/>
      <c r="F48" s="95"/>
      <c r="G48" s="23"/>
    </row>
    <row r="49" spans="1:7" x14ac:dyDescent="0.25">
      <c r="A49" s="9"/>
      <c r="B49" s="9"/>
      <c r="C49" s="9"/>
      <c r="D49" s="9"/>
      <c r="E49" s="9"/>
      <c r="F49" s="9"/>
      <c r="G49" s="9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B51" s="9"/>
      <c r="C51" s="9"/>
      <c r="D51" s="9"/>
      <c r="E51" s="9"/>
      <c r="F51" s="9"/>
      <c r="G51" s="9"/>
    </row>
    <row r="52" spans="1:7" x14ac:dyDescent="0.25">
      <c r="B52" s="9"/>
      <c r="C52" s="9"/>
      <c r="D52" s="9"/>
      <c r="E52" s="9"/>
      <c r="F52" s="9"/>
      <c r="G52" s="9"/>
    </row>
    <row r="53" spans="1:7" x14ac:dyDescent="0.25">
      <c r="B53" s="9"/>
      <c r="C53" s="9"/>
      <c r="D53" s="9"/>
      <c r="E53" s="9"/>
      <c r="F53" s="9"/>
      <c r="G53" s="9"/>
    </row>
    <row r="54" spans="1:7" x14ac:dyDescent="0.25">
      <c r="B54" s="9"/>
      <c r="C54" s="9"/>
      <c r="D54" s="9"/>
      <c r="E54" s="9"/>
      <c r="F54" s="9"/>
      <c r="G54" s="9"/>
    </row>
    <row r="55" spans="1:7" x14ac:dyDescent="0.25">
      <c r="B55" s="9"/>
      <c r="C55" s="9"/>
      <c r="D55" s="9"/>
      <c r="E55" s="9"/>
      <c r="F55" s="9"/>
      <c r="G55" s="9"/>
    </row>
    <row r="56" spans="1:7" x14ac:dyDescent="0.25">
      <c r="B56" s="9"/>
      <c r="C56" s="9"/>
      <c r="D56" s="9"/>
      <c r="E56" s="9"/>
      <c r="F56" s="9"/>
      <c r="G56" s="9"/>
    </row>
    <row r="57" spans="1:7" x14ac:dyDescent="0.25">
      <c r="B57" s="9"/>
      <c r="C57" s="9"/>
      <c r="D57" s="9"/>
      <c r="E57" s="9"/>
      <c r="F57" s="9"/>
      <c r="G57" s="9"/>
    </row>
    <row r="58" spans="1:7" x14ac:dyDescent="0.25">
      <c r="B58" s="9"/>
      <c r="C58" s="9"/>
      <c r="D58" s="9"/>
      <c r="E58" s="9"/>
      <c r="F58" s="9"/>
      <c r="G58" s="9"/>
    </row>
    <row r="59" spans="1:7" x14ac:dyDescent="0.25">
      <c r="B59" s="9"/>
      <c r="C59" s="9"/>
      <c r="D59" s="9"/>
      <c r="E59" s="9"/>
      <c r="F59" s="9"/>
      <c r="G59" s="9"/>
    </row>
    <row r="62" spans="1:7" x14ac:dyDescent="0.25">
      <c r="A62" s="11"/>
    </row>
    <row r="68" spans="1:1" x14ac:dyDescent="0.25">
      <c r="A68" s="8"/>
    </row>
    <row r="71" spans="1:1" x14ac:dyDescent="0.25">
      <c r="A71" s="10"/>
    </row>
  </sheetData>
  <mergeCells count="3">
    <mergeCell ref="J5:L5"/>
    <mergeCell ref="G5:H5"/>
    <mergeCell ref="D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  <rowBreaks count="3" manualBreakCount="3">
    <brk id="60" max="16383" man="1"/>
    <brk id="64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5">
    <tabColor indexed="13"/>
  </sheetPr>
  <dimension ref="A2:L74"/>
  <sheetViews>
    <sheetView zoomScaleNormal="100" zoomScaleSheetLayoutView="100" workbookViewId="0">
      <selection activeCell="H23" sqref="H23"/>
    </sheetView>
  </sheetViews>
  <sheetFormatPr defaultColWidth="8.8984375" defaultRowHeight="15.6" x14ac:dyDescent="0.3"/>
  <cols>
    <col min="1" max="1" width="3.09765625" style="18" customWidth="1"/>
    <col min="2" max="2" width="8.09765625" style="18" customWidth="1"/>
    <col min="3" max="3" width="2.59765625" style="18" customWidth="1"/>
    <col min="4" max="4" width="10.5" style="18" customWidth="1"/>
    <col min="5" max="5" width="7.59765625" style="18" customWidth="1"/>
    <col min="6" max="6" width="16.5" style="18" customWidth="1"/>
    <col min="7" max="7" width="2.59765625" style="18" customWidth="1"/>
    <col min="8" max="8" width="12.59765625" style="101" customWidth="1"/>
    <col min="9" max="9" width="2.5" style="101" customWidth="1"/>
    <col min="10" max="10" width="12.59765625" style="101" customWidth="1"/>
    <col min="11" max="11" width="9.765625E-2" style="18" customWidth="1"/>
    <col min="12" max="12" width="11.5" style="18" customWidth="1"/>
    <col min="13" max="16384" width="8.8984375" style="18"/>
  </cols>
  <sheetData>
    <row r="2" spans="1:12" s="19" customFormat="1" ht="22.8" x14ac:dyDescent="0.4">
      <c r="A2" s="54">
        <v>3</v>
      </c>
      <c r="B2" s="54" t="s">
        <v>310</v>
      </c>
      <c r="H2" s="102"/>
      <c r="I2" s="102"/>
      <c r="J2" s="102"/>
    </row>
    <row r="3" spans="1:12" s="16" customFormat="1" ht="13.8" x14ac:dyDescent="0.25">
      <c r="A3" s="20"/>
      <c r="H3" s="23"/>
      <c r="I3" s="23"/>
      <c r="J3" s="23"/>
    </row>
    <row r="4" spans="1:12" s="16" customFormat="1" ht="14.4" x14ac:dyDescent="0.3">
      <c r="A4" s="26" t="s">
        <v>311</v>
      </c>
      <c r="H4" s="23"/>
      <c r="I4" s="23"/>
      <c r="J4" s="23"/>
    </row>
    <row r="5" spans="1:12" s="16" customFormat="1" ht="13.8" x14ac:dyDescent="0.25">
      <c r="H5" s="23"/>
      <c r="I5" s="23"/>
      <c r="J5" s="23"/>
    </row>
    <row r="6" spans="1:12" s="16" customFormat="1" ht="13.8" x14ac:dyDescent="0.25">
      <c r="A6" s="16" t="s">
        <v>24</v>
      </c>
      <c r="H6" s="23"/>
      <c r="I6" s="23"/>
      <c r="J6" s="23"/>
    </row>
    <row r="7" spans="1:12" s="16" customFormat="1" ht="13.8" x14ac:dyDescent="0.25">
      <c r="A7" s="16" t="s">
        <v>25</v>
      </c>
      <c r="H7" s="23"/>
      <c r="I7" s="23"/>
      <c r="J7" s="23"/>
    </row>
    <row r="8" spans="1:12" s="16" customFormat="1" ht="13.8" x14ac:dyDescent="0.25">
      <c r="A8" s="16" t="s">
        <v>492</v>
      </c>
      <c r="H8" s="23"/>
      <c r="I8" s="23"/>
      <c r="J8" s="23"/>
    </row>
    <row r="9" spans="1:12" s="16" customFormat="1" ht="13.8" x14ac:dyDescent="0.25">
      <c r="A9" s="38"/>
      <c r="B9" s="38"/>
      <c r="C9" s="38"/>
      <c r="D9" s="38"/>
      <c r="E9" s="391"/>
      <c r="F9" s="391"/>
      <c r="G9" s="391"/>
      <c r="H9" s="391"/>
      <c r="I9" s="39"/>
      <c r="J9" s="39"/>
      <c r="K9" s="38"/>
      <c r="L9" s="38"/>
    </row>
    <row r="10" spans="1:12" s="16" customFormat="1" ht="13.8" x14ac:dyDescent="0.25">
      <c r="A10" s="38"/>
      <c r="B10" s="38"/>
      <c r="C10" s="38"/>
      <c r="D10" s="38"/>
      <c r="E10" s="39"/>
      <c r="F10" s="39"/>
      <c r="G10" s="39"/>
      <c r="H10" s="51" t="e">
        <f>#REF!</f>
        <v>#REF!</v>
      </c>
      <c r="I10" s="51"/>
      <c r="J10" s="51">
        <v>43465</v>
      </c>
      <c r="K10" s="39"/>
      <c r="L10" s="39"/>
    </row>
    <row r="11" spans="1:12" s="16" customFormat="1" ht="14.4" x14ac:dyDescent="0.3">
      <c r="A11" s="40"/>
      <c r="B11" s="38"/>
      <c r="C11" s="38"/>
      <c r="D11" s="38"/>
      <c r="E11" s="38"/>
      <c r="F11" s="38"/>
      <c r="G11" s="38"/>
      <c r="H11" s="85" t="s">
        <v>256</v>
      </c>
      <c r="I11" s="28"/>
      <c r="J11" s="85" t="s">
        <v>256</v>
      </c>
      <c r="K11" s="38"/>
      <c r="L11" s="38"/>
    </row>
    <row r="12" spans="1:12" s="16" customFormat="1" ht="13.8" x14ac:dyDescent="0.25">
      <c r="A12" s="38"/>
      <c r="B12" s="38"/>
      <c r="C12" s="38"/>
      <c r="D12" s="38"/>
      <c r="E12" s="38"/>
      <c r="F12" s="38"/>
      <c r="G12" s="38"/>
      <c r="H12" s="28"/>
      <c r="I12" s="28"/>
      <c r="J12" s="28"/>
      <c r="K12" s="38"/>
      <c r="L12" s="38"/>
    </row>
    <row r="13" spans="1:12" s="16" customFormat="1" ht="13.8" x14ac:dyDescent="0.25">
      <c r="A13" s="48" t="s">
        <v>312</v>
      </c>
      <c r="B13" s="38"/>
      <c r="C13" s="38"/>
      <c r="D13" s="38"/>
      <c r="E13" s="38"/>
      <c r="F13" s="38"/>
      <c r="G13" s="38"/>
      <c r="H13" s="28"/>
      <c r="I13" s="28"/>
      <c r="J13" s="28"/>
      <c r="K13" s="38"/>
      <c r="L13" s="38"/>
    </row>
    <row r="14" spans="1:12" s="16" customFormat="1" ht="13.8" x14ac:dyDescent="0.25">
      <c r="A14" s="38"/>
      <c r="B14" s="38"/>
      <c r="C14" s="38"/>
      <c r="D14" s="38"/>
      <c r="E14" s="38"/>
      <c r="F14" s="38"/>
      <c r="G14" s="38"/>
      <c r="H14" s="28"/>
      <c r="I14" s="28"/>
      <c r="J14" s="28"/>
      <c r="K14" s="38"/>
      <c r="L14" s="38"/>
    </row>
    <row r="15" spans="1:12" s="16" customFormat="1" ht="13.8" x14ac:dyDescent="0.25">
      <c r="A15" s="38" t="s">
        <v>255</v>
      </c>
      <c r="B15" s="38"/>
      <c r="C15" s="38"/>
      <c r="D15" s="38"/>
      <c r="E15" s="38"/>
      <c r="F15" s="38"/>
      <c r="G15" s="38"/>
      <c r="H15" s="49" t="e">
        <f>#REF!</f>
        <v>#REF!</v>
      </c>
      <c r="I15" s="49"/>
      <c r="J15" s="49">
        <v>261693</v>
      </c>
      <c r="K15" s="38"/>
      <c r="L15" s="38"/>
    </row>
    <row r="16" spans="1:12" s="16" customFormat="1" ht="13.8" x14ac:dyDescent="0.25">
      <c r="A16" s="38" t="s">
        <v>250</v>
      </c>
      <c r="B16" s="28"/>
      <c r="C16" s="28"/>
      <c r="D16" s="28"/>
      <c r="E16" s="28"/>
      <c r="F16" s="28"/>
      <c r="G16" s="28"/>
      <c r="H16" s="30" t="e">
        <f>#REF!</f>
        <v>#REF!</v>
      </c>
      <c r="I16" s="49"/>
      <c r="J16" s="30">
        <v>338742</v>
      </c>
      <c r="K16" s="38"/>
      <c r="L16" s="38"/>
    </row>
    <row r="17" spans="1:12" s="16" customFormat="1" ht="13.8" x14ac:dyDescent="0.25">
      <c r="A17" s="41"/>
      <c r="B17" s="38"/>
      <c r="C17" s="38"/>
      <c r="D17" s="38"/>
      <c r="E17" s="38"/>
      <c r="F17" s="38"/>
      <c r="G17" s="38"/>
      <c r="H17" s="49" t="e">
        <f>SUM(H15:H16)</f>
        <v>#REF!</v>
      </c>
      <c r="I17" s="49"/>
      <c r="J17" s="49">
        <f>SUM(J15:J16)</f>
        <v>600435</v>
      </c>
      <c r="K17" s="38"/>
      <c r="L17" s="38"/>
    </row>
    <row r="18" spans="1:12" s="16" customFormat="1" ht="13.8" x14ac:dyDescent="0.25">
      <c r="A18" s="41" t="s">
        <v>252</v>
      </c>
      <c r="B18" s="38"/>
      <c r="C18" s="38"/>
      <c r="D18" s="38"/>
      <c r="E18" s="42"/>
      <c r="F18" s="43"/>
      <c r="G18" s="42"/>
      <c r="H18" s="30"/>
      <c r="I18" s="42"/>
      <c r="J18" s="30">
        <v>-319963</v>
      </c>
      <c r="K18" s="42"/>
      <c r="L18" s="44"/>
    </row>
    <row r="19" spans="1:12" s="16" customFormat="1" ht="13.8" x14ac:dyDescent="0.25">
      <c r="A19" s="38" t="s">
        <v>313</v>
      </c>
      <c r="B19" s="45"/>
      <c r="C19" s="46"/>
      <c r="D19" s="28"/>
      <c r="E19" s="28"/>
      <c r="F19" s="28"/>
      <c r="G19" s="28"/>
      <c r="H19" s="49" t="e">
        <f>SUM(H17:H18)</f>
        <v>#REF!</v>
      </c>
      <c r="I19" s="49"/>
      <c r="J19" s="49">
        <f>SUM(J17:J18)</f>
        <v>280472</v>
      </c>
      <c r="K19" s="38"/>
      <c r="L19" s="38"/>
    </row>
    <row r="20" spans="1:12" s="16" customFormat="1" ht="13.8" x14ac:dyDescent="0.25">
      <c r="A20" s="38"/>
      <c r="B20" s="45"/>
      <c r="C20" s="46"/>
      <c r="D20" s="28"/>
      <c r="E20" s="28"/>
      <c r="F20" s="28"/>
      <c r="G20" s="28"/>
      <c r="H20" s="28"/>
      <c r="I20" s="28"/>
      <c r="J20" s="28"/>
      <c r="K20" s="38"/>
      <c r="L20" s="38"/>
    </row>
    <row r="21" spans="1:12" s="16" customFormat="1" ht="13.8" x14ac:dyDescent="0.25">
      <c r="A21" s="48" t="s">
        <v>314</v>
      </c>
      <c r="B21" s="45"/>
      <c r="C21" s="46"/>
      <c r="D21" s="28"/>
      <c r="E21" s="28"/>
      <c r="F21" s="28"/>
      <c r="G21" s="28"/>
      <c r="H21" s="28"/>
      <c r="I21" s="28"/>
      <c r="J21" s="28"/>
      <c r="K21" s="38"/>
      <c r="L21" s="38"/>
    </row>
    <row r="22" spans="1:12" s="16" customFormat="1" ht="13.8" x14ac:dyDescent="0.25">
      <c r="A22" s="38"/>
      <c r="B22" s="45"/>
      <c r="C22" s="46"/>
      <c r="D22" s="28"/>
      <c r="E22" s="28"/>
      <c r="F22" s="28"/>
      <c r="G22" s="28"/>
      <c r="H22" s="28"/>
      <c r="I22" s="28"/>
      <c r="J22" s="28"/>
      <c r="K22" s="38"/>
      <c r="L22" s="38"/>
    </row>
    <row r="23" spans="1:12" s="16" customFormat="1" ht="13.8" x14ac:dyDescent="0.25">
      <c r="A23" s="38" t="s">
        <v>265</v>
      </c>
      <c r="B23" s="45"/>
      <c r="C23" s="46"/>
      <c r="D23" s="28"/>
      <c r="E23" s="28"/>
      <c r="F23" s="28"/>
      <c r="G23" s="28"/>
      <c r="H23" s="30" t="e">
        <f>#REF!</f>
        <v>#REF!</v>
      </c>
      <c r="I23" s="28"/>
      <c r="J23" s="30">
        <v>75738</v>
      </c>
      <c r="K23" s="38"/>
      <c r="L23" s="38"/>
    </row>
    <row r="24" spans="1:12" s="16" customFormat="1" ht="14.4" thickBot="1" x14ac:dyDescent="0.3">
      <c r="A24" s="48" t="s">
        <v>315</v>
      </c>
      <c r="B24" s="45"/>
      <c r="C24" s="46"/>
      <c r="D24" s="28"/>
      <c r="E24" s="28"/>
      <c r="F24" s="28"/>
      <c r="G24" s="28"/>
      <c r="H24" s="31" t="e">
        <f>SUM(H19:H23)</f>
        <v>#REF!</v>
      </c>
      <c r="I24" s="28"/>
      <c r="J24" s="31">
        <f>SUM(J19:J23)</f>
        <v>356210</v>
      </c>
      <c r="K24" s="38"/>
      <c r="L24" s="38"/>
    </row>
    <row r="25" spans="1:12" s="16" customFormat="1" ht="14.4" thickTop="1" x14ac:dyDescent="0.25">
      <c r="A25" s="38"/>
      <c r="B25" s="45"/>
      <c r="C25" s="46"/>
      <c r="D25" s="28"/>
      <c r="E25" s="28"/>
      <c r="F25" s="28"/>
      <c r="G25" s="28"/>
      <c r="H25" s="28"/>
      <c r="I25" s="28"/>
      <c r="J25" s="28"/>
      <c r="K25" s="38"/>
      <c r="L25" s="38"/>
    </row>
    <row r="26" spans="1:12" s="16" customFormat="1" ht="13.8" x14ac:dyDescent="0.25">
      <c r="A26" s="53" t="s">
        <v>316</v>
      </c>
      <c r="B26" s="47"/>
      <c r="C26" s="47"/>
      <c r="D26" s="47"/>
      <c r="E26" s="47"/>
      <c r="F26" s="47"/>
      <c r="G26" s="38"/>
      <c r="H26" s="28"/>
      <c r="I26" s="28"/>
      <c r="J26" s="28"/>
      <c r="K26" s="38"/>
      <c r="L26" s="38"/>
    </row>
    <row r="27" spans="1:12" s="16" customFormat="1" ht="13.8" x14ac:dyDescent="0.25">
      <c r="A27" s="38"/>
      <c r="B27" s="38"/>
      <c r="C27" s="38"/>
      <c r="D27" s="38"/>
      <c r="E27" s="38"/>
      <c r="F27" s="38"/>
      <c r="G27" s="38"/>
      <c r="H27" s="28"/>
      <c r="I27" s="28"/>
      <c r="J27" s="28"/>
      <c r="K27" s="38"/>
      <c r="L27" s="38"/>
    </row>
    <row r="28" spans="1:12" s="16" customFormat="1" ht="14.4" thickBot="1" x14ac:dyDescent="0.3">
      <c r="A28" s="38" t="s">
        <v>251</v>
      </c>
      <c r="B28" s="28"/>
      <c r="C28" s="28"/>
      <c r="D28" s="28"/>
      <c r="E28" s="28"/>
      <c r="F28" s="28"/>
      <c r="G28" s="28"/>
      <c r="H28" s="37" t="e">
        <f>H24</f>
        <v>#REF!</v>
      </c>
      <c r="I28" s="28"/>
      <c r="J28" s="37">
        <f>J24</f>
        <v>356210</v>
      </c>
      <c r="K28" s="38"/>
      <c r="L28" s="38"/>
    </row>
    <row r="29" spans="1:12" s="16" customFormat="1" ht="14.4" thickTop="1" x14ac:dyDescent="0.25">
      <c r="A29" s="38"/>
      <c r="B29" s="28"/>
      <c r="C29" s="28"/>
      <c r="D29" s="28"/>
      <c r="E29" s="28"/>
      <c r="F29" s="28"/>
      <c r="G29" s="28"/>
      <c r="H29" s="28"/>
      <c r="I29" s="28"/>
      <c r="J29" s="28"/>
      <c r="K29" s="38"/>
      <c r="L29" s="38"/>
    </row>
    <row r="30" spans="1:12" s="16" customFormat="1" ht="13.8" x14ac:dyDescent="0.25">
      <c r="A30" s="38"/>
      <c r="B30" s="28"/>
      <c r="C30" s="28"/>
      <c r="D30" s="28"/>
      <c r="E30" s="28"/>
      <c r="F30" s="28"/>
      <c r="G30" s="28"/>
      <c r="H30" s="28"/>
      <c r="I30" s="28"/>
      <c r="J30" s="28"/>
      <c r="K30" s="38"/>
      <c r="L30" s="38"/>
    </row>
    <row r="31" spans="1:12" s="16" customFormat="1" ht="13.8" x14ac:dyDescent="0.25">
      <c r="B31" s="28"/>
      <c r="C31" s="28"/>
      <c r="D31" s="28"/>
      <c r="E31" s="49"/>
      <c r="F31" s="50"/>
      <c r="G31" s="49"/>
      <c r="H31" s="50"/>
      <c r="I31" s="50"/>
      <c r="J31" s="28"/>
      <c r="K31" s="28"/>
      <c r="L31" s="50"/>
    </row>
    <row r="32" spans="1:12" s="16" customFormat="1" ht="13.8" x14ac:dyDescent="0.25">
      <c r="B32" s="28"/>
      <c r="C32" s="28"/>
      <c r="D32" s="28"/>
      <c r="E32" s="28"/>
      <c r="F32" s="28"/>
      <c r="G32" s="28"/>
      <c r="H32" s="28"/>
      <c r="I32" s="28"/>
      <c r="J32" s="28"/>
      <c r="K32" s="38"/>
      <c r="L32" s="38"/>
    </row>
    <row r="33" spans="1:12" s="16" customFormat="1" ht="13.8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38"/>
      <c r="L33" s="38"/>
    </row>
    <row r="34" spans="1:12" s="16" customFormat="1" ht="13.8" x14ac:dyDescent="0.25">
      <c r="A34" s="48"/>
      <c r="B34" s="28"/>
      <c r="C34" s="28"/>
      <c r="D34" s="28"/>
      <c r="E34" s="49"/>
      <c r="F34" s="50"/>
      <c r="G34" s="49"/>
      <c r="H34" s="50"/>
      <c r="I34" s="50"/>
      <c r="J34" s="49"/>
      <c r="K34" s="49"/>
      <c r="L34" s="50"/>
    </row>
    <row r="35" spans="1:12" s="16" customFormat="1" ht="13.8" x14ac:dyDescent="0.25">
      <c r="B35" s="23"/>
      <c r="C35" s="23"/>
      <c r="D35" s="28"/>
      <c r="E35" s="23"/>
      <c r="F35" s="23"/>
      <c r="G35" s="23"/>
      <c r="H35" s="23"/>
      <c r="I35" s="23"/>
      <c r="J35" s="23"/>
    </row>
    <row r="36" spans="1:12" s="16" customFormat="1" ht="13.8" x14ac:dyDescent="0.25">
      <c r="B36" s="23"/>
      <c r="C36" s="23"/>
      <c r="D36" s="28"/>
      <c r="E36" s="23"/>
      <c r="F36" s="23"/>
      <c r="G36" s="23"/>
      <c r="H36" s="23"/>
      <c r="I36" s="23"/>
      <c r="J36" s="23"/>
    </row>
    <row r="37" spans="1:12" s="16" customFormat="1" ht="13.8" x14ac:dyDescent="0.25">
      <c r="B37" s="23"/>
      <c r="C37" s="23"/>
      <c r="D37" s="28"/>
      <c r="E37" s="23"/>
      <c r="F37" s="23"/>
      <c r="G37" s="23"/>
      <c r="H37" s="23"/>
      <c r="I37" s="23"/>
      <c r="J37" s="23"/>
    </row>
    <row r="38" spans="1:12" s="16" customFormat="1" ht="13.8" x14ac:dyDescent="0.25">
      <c r="B38" s="23"/>
      <c r="C38" s="23"/>
      <c r="D38" s="28"/>
      <c r="E38" s="23"/>
      <c r="F38" s="23"/>
      <c r="G38" s="23"/>
      <c r="H38" s="23"/>
      <c r="I38" s="23"/>
      <c r="J38" s="23"/>
    </row>
    <row r="39" spans="1:12" s="16" customFormat="1" ht="13.8" x14ac:dyDescent="0.25">
      <c r="B39" s="23"/>
      <c r="C39" s="23"/>
      <c r="D39" s="28"/>
      <c r="E39" s="23"/>
      <c r="F39" s="23"/>
      <c r="G39" s="23"/>
      <c r="H39" s="23"/>
      <c r="I39" s="23"/>
      <c r="J39" s="23"/>
    </row>
    <row r="40" spans="1:12" s="16" customFormat="1" ht="13.8" x14ac:dyDescent="0.25">
      <c r="B40" s="23"/>
      <c r="C40" s="23"/>
      <c r="D40" s="23"/>
      <c r="E40" s="23"/>
      <c r="F40" s="23"/>
      <c r="G40" s="23"/>
      <c r="H40" s="23"/>
      <c r="I40" s="23"/>
      <c r="J40" s="23"/>
    </row>
    <row r="41" spans="1:12" s="16" customFormat="1" ht="13.8" x14ac:dyDescent="0.25">
      <c r="A41" s="24"/>
      <c r="B41" s="23"/>
      <c r="C41" s="23"/>
      <c r="D41" s="23"/>
      <c r="E41" s="23"/>
      <c r="F41" s="23"/>
      <c r="G41" s="23"/>
      <c r="H41" s="23"/>
      <c r="I41" s="23"/>
      <c r="J41" s="23"/>
    </row>
    <row r="42" spans="1:12" s="16" customFormat="1" ht="13.8" x14ac:dyDescent="0.25">
      <c r="A42" s="24"/>
      <c r="B42" s="23"/>
      <c r="C42" s="23"/>
      <c r="D42" s="23"/>
      <c r="E42" s="23"/>
      <c r="F42" s="23"/>
      <c r="G42" s="143"/>
      <c r="H42" s="23"/>
      <c r="I42" s="23"/>
      <c r="J42" s="23"/>
    </row>
    <row r="43" spans="1:12" s="16" customFormat="1" ht="16.2" x14ac:dyDescent="0.35">
      <c r="A43" s="21"/>
      <c r="G43" s="145"/>
      <c r="H43" s="23"/>
      <c r="I43" s="23"/>
      <c r="J43" s="23"/>
    </row>
    <row r="44" spans="1:12" s="16" customFormat="1" ht="13.8" x14ac:dyDescent="0.25">
      <c r="A44" s="22"/>
      <c r="B44" s="23"/>
      <c r="C44" s="23"/>
      <c r="D44" s="23"/>
      <c r="E44" s="23"/>
      <c r="F44" s="23"/>
      <c r="G44" s="143"/>
      <c r="H44" s="23"/>
      <c r="I44" s="23"/>
      <c r="J44" s="23"/>
    </row>
    <row r="45" spans="1:12" s="16" customFormat="1" ht="13.8" x14ac:dyDescent="0.25">
      <c r="A45" s="23"/>
      <c r="B45" s="23"/>
      <c r="C45" s="23"/>
      <c r="D45" s="23"/>
      <c r="E45" s="23"/>
      <c r="F45" s="23"/>
      <c r="G45" s="143"/>
      <c r="H45" s="23"/>
      <c r="I45" s="23"/>
      <c r="J45" s="23"/>
    </row>
    <row r="46" spans="1:12" s="16" customFormat="1" ht="13.8" x14ac:dyDescent="0.25">
      <c r="A46" s="23"/>
      <c r="B46" s="23"/>
      <c r="C46" s="23"/>
      <c r="D46" s="23"/>
      <c r="E46" s="23"/>
      <c r="F46" s="23"/>
      <c r="G46" s="143"/>
      <c r="H46" s="23"/>
      <c r="I46" s="23"/>
      <c r="J46" s="23"/>
    </row>
    <row r="47" spans="1:12" s="16" customFormat="1" ht="13.8" x14ac:dyDescent="0.25">
      <c r="A47" s="23"/>
      <c r="B47" s="23"/>
      <c r="C47" s="23"/>
      <c r="D47" s="23"/>
      <c r="E47" s="23"/>
      <c r="F47" s="23"/>
      <c r="G47" s="95"/>
      <c r="H47" s="23"/>
      <c r="I47" s="23"/>
      <c r="J47" s="23"/>
    </row>
    <row r="48" spans="1:12" s="16" customFormat="1" ht="13.8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s="16" customFormat="1" ht="13.8" x14ac:dyDescent="0.25">
      <c r="B49" s="23"/>
      <c r="C49" s="23"/>
      <c r="D49" s="23"/>
      <c r="E49" s="23"/>
      <c r="F49" s="23"/>
      <c r="G49" s="23"/>
      <c r="H49" s="23"/>
      <c r="I49" s="23"/>
      <c r="J49" s="23"/>
    </row>
    <row r="50" spans="1:10" s="16" customFormat="1" ht="13.8" x14ac:dyDescent="0.25">
      <c r="B50" s="23"/>
      <c r="C50" s="23"/>
      <c r="D50" s="23"/>
      <c r="E50" s="23"/>
      <c r="F50" s="23"/>
      <c r="G50" s="23"/>
      <c r="H50" s="23"/>
      <c r="I50" s="23"/>
      <c r="J50" s="23"/>
    </row>
    <row r="51" spans="1:10" s="16" customFormat="1" ht="13.8" x14ac:dyDescent="0.25">
      <c r="B51" s="23"/>
      <c r="C51" s="23"/>
      <c r="D51" s="23"/>
      <c r="E51" s="23"/>
      <c r="F51" s="23"/>
      <c r="G51" s="23"/>
      <c r="H51" s="23"/>
      <c r="I51" s="23"/>
      <c r="J51" s="23"/>
    </row>
    <row r="52" spans="1:10" s="16" customFormat="1" ht="13.8" x14ac:dyDescent="0.25">
      <c r="B52" s="23"/>
      <c r="C52" s="23"/>
      <c r="D52" s="23"/>
      <c r="E52" s="23"/>
      <c r="F52" s="23"/>
      <c r="G52" s="23"/>
      <c r="H52" s="23"/>
      <c r="I52" s="23"/>
      <c r="J52" s="23"/>
    </row>
    <row r="53" spans="1:10" s="16" customFormat="1" ht="13.8" x14ac:dyDescent="0.25">
      <c r="B53" s="23"/>
      <c r="C53" s="23"/>
      <c r="D53" s="23"/>
      <c r="E53" s="23"/>
      <c r="F53" s="23"/>
      <c r="G53" s="23"/>
      <c r="H53" s="23"/>
      <c r="I53" s="23"/>
      <c r="J53" s="23"/>
    </row>
    <row r="54" spans="1:10" s="16" customFormat="1" ht="13.8" x14ac:dyDescent="0.25">
      <c r="B54" s="23"/>
      <c r="C54" s="23"/>
      <c r="D54" s="23"/>
      <c r="E54" s="23"/>
      <c r="F54" s="23"/>
      <c r="G54" s="23"/>
      <c r="H54" s="23"/>
      <c r="I54" s="23"/>
      <c r="J54" s="23"/>
    </row>
    <row r="55" spans="1:10" s="16" customFormat="1" ht="13.8" x14ac:dyDescent="0.25">
      <c r="B55" s="23"/>
      <c r="C55" s="23"/>
      <c r="D55" s="23"/>
      <c r="E55" s="23"/>
      <c r="F55" s="23"/>
      <c r="G55" s="23"/>
      <c r="H55" s="23"/>
      <c r="I55" s="23"/>
      <c r="J55" s="23"/>
    </row>
    <row r="56" spans="1:10" s="16" customFormat="1" ht="13.8" x14ac:dyDescent="0.25">
      <c r="B56" s="23"/>
      <c r="C56" s="23"/>
      <c r="D56" s="23"/>
      <c r="E56" s="23"/>
      <c r="F56" s="23"/>
      <c r="G56" s="23"/>
      <c r="H56" s="23"/>
      <c r="I56" s="23"/>
      <c r="J56" s="23"/>
    </row>
    <row r="57" spans="1:10" s="16" customFormat="1" ht="13.8" x14ac:dyDescent="0.25">
      <c r="B57" s="23"/>
      <c r="C57" s="23"/>
      <c r="D57" s="23"/>
      <c r="E57" s="23"/>
      <c r="F57" s="23"/>
      <c r="G57" s="23"/>
      <c r="H57" s="23"/>
      <c r="I57" s="23"/>
      <c r="J57" s="23"/>
    </row>
    <row r="58" spans="1:10" s="16" customFormat="1" ht="13.8" x14ac:dyDescent="0.25">
      <c r="H58" s="23"/>
      <c r="I58" s="23"/>
      <c r="J58" s="23"/>
    </row>
    <row r="59" spans="1:10" s="16" customFormat="1" ht="13.8" x14ac:dyDescent="0.25">
      <c r="H59" s="23"/>
      <c r="I59" s="23"/>
      <c r="J59" s="23"/>
    </row>
    <row r="60" spans="1:10" s="16" customFormat="1" ht="13.8" x14ac:dyDescent="0.25">
      <c r="A60" s="15"/>
      <c r="H60" s="23"/>
      <c r="I60" s="23"/>
      <c r="J60" s="23"/>
    </row>
    <row r="61" spans="1:10" s="16" customFormat="1" ht="13.8" x14ac:dyDescent="0.25">
      <c r="H61" s="23"/>
      <c r="I61" s="23"/>
      <c r="J61" s="23"/>
    </row>
    <row r="62" spans="1:10" s="16" customFormat="1" ht="13.8" x14ac:dyDescent="0.25">
      <c r="H62" s="23"/>
      <c r="I62" s="23"/>
      <c r="J62" s="23"/>
    </row>
    <row r="63" spans="1:10" s="16" customFormat="1" ht="13.8" x14ac:dyDescent="0.25">
      <c r="H63" s="23"/>
      <c r="I63" s="23"/>
      <c r="J63" s="23"/>
    </row>
    <row r="64" spans="1:10" s="16" customFormat="1" ht="13.8" x14ac:dyDescent="0.25">
      <c r="H64" s="23"/>
      <c r="I64" s="23"/>
      <c r="J64" s="23"/>
    </row>
    <row r="65" spans="1:10" s="16" customFormat="1" ht="13.8" x14ac:dyDescent="0.25">
      <c r="H65" s="23"/>
      <c r="I65" s="23"/>
      <c r="J65" s="23"/>
    </row>
    <row r="66" spans="1:10" s="16" customFormat="1" ht="13.8" x14ac:dyDescent="0.25">
      <c r="A66" s="20"/>
      <c r="H66" s="23"/>
      <c r="I66" s="23"/>
      <c r="J66" s="23"/>
    </row>
    <row r="67" spans="1:10" s="16" customFormat="1" ht="13.8" x14ac:dyDescent="0.25">
      <c r="H67" s="23"/>
      <c r="I67" s="23"/>
      <c r="J67" s="23"/>
    </row>
    <row r="68" spans="1:10" s="16" customFormat="1" ht="13.8" x14ac:dyDescent="0.25">
      <c r="H68" s="23"/>
      <c r="I68" s="23"/>
      <c r="J68" s="23"/>
    </row>
    <row r="69" spans="1:10" s="16" customFormat="1" ht="14.4" x14ac:dyDescent="0.3">
      <c r="A69" s="26"/>
      <c r="H69" s="23"/>
      <c r="I69" s="23"/>
      <c r="J69" s="23"/>
    </row>
    <row r="70" spans="1:10" s="16" customFormat="1" ht="13.8" x14ac:dyDescent="0.25">
      <c r="H70" s="23"/>
      <c r="I70" s="23"/>
      <c r="J70" s="23"/>
    </row>
    <row r="71" spans="1:10" s="16" customFormat="1" ht="13.8" x14ac:dyDescent="0.25">
      <c r="H71" s="23"/>
      <c r="I71" s="23"/>
      <c r="J71" s="23"/>
    </row>
    <row r="72" spans="1:10" s="16" customFormat="1" ht="13.8" x14ac:dyDescent="0.25">
      <c r="H72" s="23"/>
      <c r="I72" s="23"/>
      <c r="J72" s="23"/>
    </row>
    <row r="73" spans="1:10" s="16" customFormat="1" ht="13.8" x14ac:dyDescent="0.25">
      <c r="H73" s="23"/>
      <c r="I73" s="23"/>
      <c r="J73" s="23"/>
    </row>
    <row r="74" spans="1:10" s="16" customFormat="1" ht="13.8" x14ac:dyDescent="0.25">
      <c r="H74" s="23"/>
      <c r="I74" s="23"/>
      <c r="J74" s="23"/>
    </row>
  </sheetData>
  <mergeCells count="2">
    <mergeCell ref="G9:H9"/>
    <mergeCell ref="E9:F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  <rowBreaks count="3" manualBreakCount="3">
    <brk id="58" max="16383" man="1"/>
    <brk id="62" max="16383" man="1"/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5">
    <tabColor indexed="13"/>
  </sheetPr>
  <dimension ref="A1:I45"/>
  <sheetViews>
    <sheetView zoomScaleNormal="100" zoomScaleSheetLayoutView="100" workbookViewId="0">
      <selection activeCell="B21" sqref="B21"/>
    </sheetView>
  </sheetViews>
  <sheetFormatPr defaultColWidth="8.8984375" defaultRowHeight="15" x14ac:dyDescent="0.25"/>
  <cols>
    <col min="1" max="1" width="28.59765625" style="4" customWidth="1"/>
    <col min="2" max="2" width="8" style="4" bestFit="1" customWidth="1"/>
    <col min="3" max="3" width="8.8984375" style="4" customWidth="1"/>
    <col min="4" max="4" width="1.59765625" style="4" customWidth="1"/>
    <col min="5" max="5" width="9.09765625" style="4" bestFit="1" customWidth="1"/>
    <col min="6" max="6" width="8.59765625" style="4" customWidth="1"/>
    <col min="7" max="7" width="1.59765625" style="4" customWidth="1"/>
    <col min="8" max="8" width="8.59765625" style="4" customWidth="1"/>
    <col min="9" max="9" width="8.59765625" style="13" customWidth="1"/>
    <col min="10" max="11" width="8.8984375" style="4"/>
    <col min="12" max="12" width="9.5" style="4" bestFit="1" customWidth="1"/>
    <col min="13" max="16384" width="8.8984375" style="4"/>
  </cols>
  <sheetData>
    <row r="1" spans="1:9" ht="22.8" x14ac:dyDescent="0.4">
      <c r="A1" s="54" t="s">
        <v>640</v>
      </c>
      <c r="B1" s="65"/>
      <c r="C1" s="65"/>
      <c r="D1" s="65"/>
      <c r="E1" s="65"/>
      <c r="F1" s="65"/>
      <c r="G1" s="65"/>
      <c r="H1" s="65"/>
      <c r="I1" s="66"/>
    </row>
    <row r="2" spans="1:9" x14ac:dyDescent="0.25">
      <c r="A2" s="57"/>
      <c r="B2" s="58"/>
      <c r="C2" s="58"/>
      <c r="D2" s="58"/>
      <c r="E2" s="58"/>
      <c r="F2" s="58"/>
      <c r="G2" s="58"/>
      <c r="H2" s="58"/>
      <c r="I2" s="60"/>
    </row>
    <row r="3" spans="1:9" s="7" customFormat="1" ht="13.8" x14ac:dyDescent="0.25">
      <c r="A3" s="52"/>
      <c r="B3" s="392" t="s">
        <v>637</v>
      </c>
      <c r="C3" s="392"/>
      <c r="D3" s="393" t="s">
        <v>638</v>
      </c>
      <c r="E3" s="393"/>
      <c r="F3" s="393"/>
      <c r="G3" s="52"/>
      <c r="H3" s="394" t="s">
        <v>560</v>
      </c>
      <c r="I3" s="394"/>
    </row>
    <row r="4" spans="1:9" s="7" customFormat="1" ht="13.8" x14ac:dyDescent="0.25">
      <c r="A4" s="42"/>
      <c r="B4" s="69" t="s">
        <v>256</v>
      </c>
      <c r="C4" s="75" t="s">
        <v>256</v>
      </c>
      <c r="D4" s="75"/>
      <c r="E4" s="69" t="s">
        <v>256</v>
      </c>
      <c r="F4" s="75" t="s">
        <v>256</v>
      </c>
      <c r="G4" s="75"/>
      <c r="H4" s="76" t="s">
        <v>256</v>
      </c>
      <c r="I4" s="76" t="s">
        <v>256</v>
      </c>
    </row>
    <row r="5" spans="1:9" s="7" customFormat="1" ht="13.8" x14ac:dyDescent="0.25">
      <c r="A5" s="42"/>
      <c r="B5" s="42"/>
      <c r="C5" s="69"/>
      <c r="D5" s="70"/>
      <c r="E5" s="70"/>
      <c r="F5" s="70"/>
      <c r="G5" s="70"/>
      <c r="H5" s="71"/>
      <c r="I5" s="71"/>
    </row>
    <row r="6" spans="1:9" s="7" customFormat="1" ht="13.8" x14ac:dyDescent="0.25">
      <c r="A6" s="42" t="s">
        <v>267</v>
      </c>
      <c r="B6" s="112" t="e">
        <f>Toelichting_expl!#REF!</f>
        <v>#REF!</v>
      </c>
      <c r="C6" s="112"/>
      <c r="D6" s="112"/>
      <c r="E6" s="112">
        <v>709905</v>
      </c>
      <c r="F6" s="112"/>
      <c r="G6" s="112"/>
      <c r="H6" s="138">
        <v>644436.75</v>
      </c>
      <c r="I6" s="138"/>
    </row>
    <row r="7" spans="1:9" s="7" customFormat="1" ht="13.8" x14ac:dyDescent="0.25">
      <c r="A7" s="16" t="s">
        <v>417</v>
      </c>
      <c r="B7" s="112" t="e">
        <f>Toelichting_expl!#REF!</f>
        <v>#REF!</v>
      </c>
      <c r="C7" s="112"/>
      <c r="D7" s="112"/>
      <c r="E7" s="112">
        <v>235480</v>
      </c>
      <c r="F7" s="112"/>
      <c r="G7" s="112"/>
      <c r="H7" s="138">
        <v>88560</v>
      </c>
      <c r="I7" s="138"/>
    </row>
    <row r="8" spans="1:9" s="7" customFormat="1" ht="13.8" x14ac:dyDescent="0.25">
      <c r="A8" s="16" t="s">
        <v>622</v>
      </c>
      <c r="B8" s="112" t="e">
        <f>Toelichting_expl!#REF!</f>
        <v>#REF!</v>
      </c>
      <c r="C8" s="112"/>
      <c r="D8" s="112"/>
      <c r="E8" s="112">
        <v>18031</v>
      </c>
      <c r="F8" s="112"/>
      <c r="G8" s="112"/>
      <c r="H8" s="138">
        <v>10811</v>
      </c>
      <c r="I8" s="138"/>
    </row>
    <row r="9" spans="1:9" s="7" customFormat="1" ht="13.8" x14ac:dyDescent="0.25">
      <c r="A9" s="16" t="s">
        <v>671</v>
      </c>
      <c r="B9" s="112" t="e">
        <f>Toelichting_expl!#REF!</f>
        <v>#REF!</v>
      </c>
      <c r="C9" s="112"/>
      <c r="D9" s="112"/>
      <c r="E9" s="112">
        <v>16000</v>
      </c>
      <c r="F9" s="112"/>
      <c r="G9" s="112"/>
      <c r="H9" s="99" t="e">
        <f>Toelichting_expl!#REF!</f>
        <v>#REF!</v>
      </c>
      <c r="I9" s="138"/>
    </row>
    <row r="10" spans="1:9" s="7" customFormat="1" ht="13.8" x14ac:dyDescent="0.25">
      <c r="A10" s="16" t="s">
        <v>507</v>
      </c>
      <c r="B10" s="112" t="e">
        <f>Toelichting_expl!#REF!</f>
        <v>#REF!</v>
      </c>
      <c r="C10" s="112"/>
      <c r="D10" s="112"/>
      <c r="E10" s="112">
        <v>846870</v>
      </c>
      <c r="F10" s="112"/>
      <c r="G10" s="112"/>
      <c r="H10" s="138">
        <v>752384</v>
      </c>
      <c r="I10" s="138"/>
    </row>
    <row r="11" spans="1:9" s="7" customFormat="1" ht="13.8" x14ac:dyDescent="0.25">
      <c r="A11" s="42" t="s">
        <v>277</v>
      </c>
      <c r="B11" s="112" t="e">
        <f>Toelichting_expl!#REF!</f>
        <v>#REF!</v>
      </c>
      <c r="C11" s="112"/>
      <c r="D11" s="112"/>
      <c r="E11" s="112">
        <v>501140</v>
      </c>
      <c r="F11" s="112"/>
      <c r="G11" s="112"/>
      <c r="H11" s="138">
        <v>469211.48</v>
      </c>
      <c r="I11" s="138"/>
    </row>
    <row r="12" spans="1:9" s="7" customFormat="1" ht="13.8" x14ac:dyDescent="0.25">
      <c r="A12" s="42" t="s">
        <v>278</v>
      </c>
      <c r="B12" s="112" t="e">
        <f>Toelichting_expl!#REF!</f>
        <v>#REF!</v>
      </c>
      <c r="C12" s="138"/>
      <c r="D12" s="138"/>
      <c r="E12" s="138">
        <v>221250</v>
      </c>
      <c r="F12" s="138"/>
      <c r="G12" s="138"/>
      <c r="H12" s="138">
        <v>189434</v>
      </c>
      <c r="I12" s="138"/>
    </row>
    <row r="13" spans="1:9" s="7" customFormat="1" ht="13.8" x14ac:dyDescent="0.25">
      <c r="A13" s="42" t="s">
        <v>280</v>
      </c>
      <c r="B13" s="112" t="e">
        <f>Toelichting_expl!#REF!</f>
        <v>#REF!</v>
      </c>
      <c r="C13" s="138"/>
      <c r="D13" s="138"/>
      <c r="E13" s="138">
        <v>153435</v>
      </c>
      <c r="F13" s="138"/>
      <c r="G13" s="138"/>
      <c r="H13" s="138">
        <v>137380</v>
      </c>
      <c r="I13" s="138"/>
    </row>
    <row r="14" spans="1:9" s="7" customFormat="1" ht="13.8" x14ac:dyDescent="0.25">
      <c r="A14" s="16" t="s">
        <v>392</v>
      </c>
      <c r="B14" s="112" t="e">
        <f>Toelichting_expl!#REF!</f>
        <v>#REF!</v>
      </c>
      <c r="C14" s="138"/>
      <c r="D14" s="138"/>
      <c r="E14" s="138">
        <v>59200</v>
      </c>
      <c r="F14" s="138"/>
      <c r="G14" s="138"/>
      <c r="H14" s="138">
        <v>55784</v>
      </c>
      <c r="I14" s="138"/>
    </row>
    <row r="15" spans="1:9" s="7" customFormat="1" ht="13.8" x14ac:dyDescent="0.25">
      <c r="A15" s="42" t="s">
        <v>281</v>
      </c>
      <c r="B15" s="139" t="e">
        <f>Toelichting_expl!#REF!</f>
        <v>#REF!</v>
      </c>
      <c r="C15" s="138"/>
      <c r="D15" s="138"/>
      <c r="E15" s="140">
        <v>166664</v>
      </c>
      <c r="F15" s="138"/>
      <c r="G15" s="138"/>
      <c r="H15" s="140">
        <v>146023.47</v>
      </c>
      <c r="I15" s="138"/>
    </row>
    <row r="16" spans="1:9" s="7" customFormat="1" ht="13.8" x14ac:dyDescent="0.25">
      <c r="A16" s="72" t="s">
        <v>223</v>
      </c>
      <c r="B16" s="112"/>
      <c r="C16" s="138" t="e">
        <f>SUM(B6:B15)</f>
        <v>#REF!</v>
      </c>
      <c r="D16" s="138"/>
      <c r="E16" s="138"/>
      <c r="F16" s="138">
        <f>SUM(E6:E15)</f>
        <v>2927975</v>
      </c>
      <c r="G16" s="138"/>
      <c r="H16" s="138"/>
      <c r="I16" s="138" t="e">
        <f>SUM(H6:H15)</f>
        <v>#REF!</v>
      </c>
    </row>
    <row r="17" spans="1:9" s="7" customFormat="1" ht="13.8" x14ac:dyDescent="0.25">
      <c r="A17" s="42"/>
      <c r="B17" s="112"/>
      <c r="C17" s="138"/>
      <c r="D17" s="138"/>
      <c r="E17" s="138"/>
      <c r="F17" s="138"/>
      <c r="G17" s="138"/>
      <c r="H17" s="138"/>
      <c r="I17" s="138"/>
    </row>
    <row r="18" spans="1:9" s="7" customFormat="1" ht="13.8" x14ac:dyDescent="0.25">
      <c r="A18" s="16" t="s">
        <v>268</v>
      </c>
      <c r="B18" s="112" t="e">
        <f>Toelichting_expl!#REF!</f>
        <v>#REF!</v>
      </c>
      <c r="C18" s="138"/>
      <c r="D18" s="138"/>
      <c r="E18" s="49">
        <v>313335</v>
      </c>
      <c r="F18" s="138"/>
      <c r="G18" s="138"/>
      <c r="H18" s="138">
        <v>315768.16000000003</v>
      </c>
      <c r="I18" s="138"/>
    </row>
    <row r="19" spans="1:9" s="7" customFormat="1" ht="13.8" x14ac:dyDescent="0.25">
      <c r="A19" s="16" t="s">
        <v>266</v>
      </c>
      <c r="B19" s="112" t="e">
        <f>Toelichting_expl!#REF!</f>
        <v>#REF!</v>
      </c>
      <c r="C19" s="138"/>
      <c r="D19" s="138"/>
      <c r="E19" s="49">
        <v>40000</v>
      </c>
      <c r="F19" s="138"/>
      <c r="G19" s="138"/>
      <c r="H19" s="138">
        <v>33757</v>
      </c>
      <c r="I19" s="138"/>
    </row>
    <row r="20" spans="1:9" s="7" customFormat="1" ht="13.8" x14ac:dyDescent="0.25">
      <c r="A20" s="16" t="s">
        <v>300</v>
      </c>
      <c r="B20" s="112" t="e">
        <f>Toelichting_expl!#REF!</f>
        <v>#REF!</v>
      </c>
      <c r="C20" s="138"/>
      <c r="D20" s="138"/>
      <c r="E20" s="49">
        <v>19877</v>
      </c>
      <c r="F20" s="138"/>
      <c r="G20" s="138"/>
      <c r="H20" s="138">
        <v>18634</v>
      </c>
      <c r="I20" s="138"/>
    </row>
    <row r="21" spans="1:9" s="7" customFormat="1" ht="13.8" x14ac:dyDescent="0.25">
      <c r="A21" s="16" t="s">
        <v>301</v>
      </c>
      <c r="B21" s="112" t="e">
        <f>Toelichting_expl!#REF!</f>
        <v>#REF!</v>
      </c>
      <c r="C21" s="138"/>
      <c r="D21" s="138"/>
      <c r="E21" s="49">
        <v>286785</v>
      </c>
      <c r="F21" s="138"/>
      <c r="G21" s="138"/>
      <c r="H21" s="138">
        <v>302974</v>
      </c>
      <c r="I21" s="138"/>
    </row>
    <row r="22" spans="1:9" s="7" customFormat="1" ht="13.8" x14ac:dyDescent="0.25">
      <c r="A22" s="16" t="s">
        <v>302</v>
      </c>
      <c r="B22" s="112" t="e">
        <f>Toelichting_expl!#REF!</f>
        <v>#REF!</v>
      </c>
      <c r="C22" s="138"/>
      <c r="D22" s="138"/>
      <c r="E22" s="49">
        <v>102500</v>
      </c>
      <c r="F22" s="138"/>
      <c r="G22" s="138"/>
      <c r="H22" s="138">
        <v>52223</v>
      </c>
      <c r="I22" s="138"/>
    </row>
    <row r="23" spans="1:9" s="7" customFormat="1" ht="13.8" x14ac:dyDescent="0.25">
      <c r="A23" s="16" t="s">
        <v>269</v>
      </c>
      <c r="B23" s="112" t="e">
        <f>Toelichting_expl!#REF!</f>
        <v>#REF!</v>
      </c>
      <c r="C23" s="138"/>
      <c r="D23" s="138"/>
      <c r="E23" s="49">
        <v>56000</v>
      </c>
      <c r="F23" s="138"/>
      <c r="G23" s="138"/>
      <c r="H23" s="138">
        <v>62252</v>
      </c>
      <c r="I23" s="138"/>
    </row>
    <row r="24" spans="1:9" s="7" customFormat="1" ht="13.8" x14ac:dyDescent="0.25">
      <c r="A24" s="27" t="s">
        <v>565</v>
      </c>
      <c r="B24" s="112" t="e">
        <f>Toelichting_expl!#REF!</f>
        <v>#REF!</v>
      </c>
      <c r="C24" s="138"/>
      <c r="D24" s="138"/>
      <c r="E24" s="49">
        <v>915855</v>
      </c>
      <c r="F24" s="138"/>
      <c r="G24" s="138"/>
      <c r="H24" s="138">
        <v>909710.04000000015</v>
      </c>
      <c r="I24" s="138"/>
    </row>
    <row r="25" spans="1:9" s="7" customFormat="1" ht="13.8" x14ac:dyDescent="0.25">
      <c r="A25" s="27" t="s">
        <v>587</v>
      </c>
      <c r="B25" s="112" t="e">
        <f>Toelichting_expl!#REF!</f>
        <v>#REF!</v>
      </c>
      <c r="C25" s="138"/>
      <c r="D25" s="138"/>
      <c r="E25" s="49">
        <v>315480</v>
      </c>
      <c r="F25" s="138"/>
      <c r="G25" s="138"/>
      <c r="H25" s="138">
        <v>255347.69</v>
      </c>
      <c r="I25" s="138"/>
    </row>
    <row r="26" spans="1:9" s="7" customFormat="1" ht="13.8" x14ac:dyDescent="0.25">
      <c r="A26" s="16" t="s">
        <v>303</v>
      </c>
      <c r="B26" s="112" t="e">
        <f>Toelichting_expl!#REF!</f>
        <v>#REF!</v>
      </c>
      <c r="C26" s="138"/>
      <c r="D26" s="138"/>
      <c r="E26" s="49">
        <v>342760</v>
      </c>
      <c r="F26" s="138"/>
      <c r="G26" s="138"/>
      <c r="H26" s="138">
        <v>342901</v>
      </c>
      <c r="I26" s="138"/>
    </row>
    <row r="27" spans="1:9" s="7" customFormat="1" ht="13.8" x14ac:dyDescent="0.25">
      <c r="A27" s="16" t="s">
        <v>304</v>
      </c>
      <c r="B27" s="112" t="e">
        <f>Toelichting_expl!#REF!</f>
        <v>#REF!</v>
      </c>
      <c r="C27" s="138"/>
      <c r="D27" s="138"/>
      <c r="E27" s="49">
        <v>92500</v>
      </c>
      <c r="F27" s="138"/>
      <c r="G27" s="138"/>
      <c r="H27" s="138">
        <v>71267</v>
      </c>
      <c r="I27" s="138"/>
    </row>
    <row r="28" spans="1:9" s="7" customFormat="1" ht="13.8" x14ac:dyDescent="0.25">
      <c r="A28" s="16" t="s">
        <v>417</v>
      </c>
      <c r="B28" s="112" t="e">
        <f>Toelichting_expl!#REF!</f>
        <v>#REF!</v>
      </c>
      <c r="C28" s="138"/>
      <c r="D28" s="138"/>
      <c r="E28" s="49">
        <v>254650</v>
      </c>
      <c r="F28" s="138"/>
      <c r="G28" s="138"/>
      <c r="H28" s="138">
        <v>97693.2</v>
      </c>
      <c r="I28" s="138"/>
    </row>
    <row r="29" spans="1:9" s="7" customFormat="1" ht="13.8" x14ac:dyDescent="0.25">
      <c r="A29" s="16" t="s">
        <v>622</v>
      </c>
      <c r="B29" s="112" t="e">
        <f>Toelichting_expl!#REF!</f>
        <v>#REF!</v>
      </c>
      <c r="C29" s="138"/>
      <c r="D29" s="138"/>
      <c r="E29" s="99">
        <v>32150</v>
      </c>
      <c r="F29" s="138"/>
      <c r="G29" s="138"/>
      <c r="H29" s="138">
        <f>27764+0.4</f>
        <v>27764.400000000001</v>
      </c>
      <c r="I29" s="138"/>
    </row>
    <row r="30" spans="1:9" s="7" customFormat="1" ht="13.8" x14ac:dyDescent="0.25">
      <c r="A30" s="16" t="s">
        <v>671</v>
      </c>
      <c r="B30" s="112" t="e">
        <f>Toelichting_expl!#REF!</f>
        <v>#REF!</v>
      </c>
      <c r="C30" s="138"/>
      <c r="D30" s="138"/>
      <c r="E30" s="99">
        <v>26000</v>
      </c>
      <c r="F30" s="138"/>
      <c r="G30" s="138"/>
      <c r="H30" s="99" t="e">
        <f>Toelichting_expl!#REF!</f>
        <v>#REF!</v>
      </c>
      <c r="I30" s="138"/>
    </row>
    <row r="31" spans="1:9" s="7" customFormat="1" ht="13.8" x14ac:dyDescent="0.25">
      <c r="A31" s="16" t="s">
        <v>305</v>
      </c>
      <c r="B31" s="112" t="e">
        <f>Toelichting_expl!#REF!</f>
        <v>#REF!</v>
      </c>
      <c r="C31" s="138"/>
      <c r="D31" s="138"/>
      <c r="E31" s="49">
        <v>107320</v>
      </c>
      <c r="F31" s="138"/>
      <c r="G31" s="138"/>
      <c r="H31" s="138">
        <f>62384+0.4</f>
        <v>62384.4</v>
      </c>
      <c r="I31" s="138"/>
    </row>
    <row r="32" spans="1:9" s="7" customFormat="1" ht="13.8" x14ac:dyDescent="0.25">
      <c r="A32" s="16" t="s">
        <v>90</v>
      </c>
      <c r="B32" s="245" t="e">
        <f>Toelichting_expl!#REF!</f>
        <v>#REF!</v>
      </c>
      <c r="C32" s="138"/>
      <c r="D32" s="138"/>
      <c r="E32" s="49">
        <v>10000</v>
      </c>
      <c r="F32" s="138"/>
      <c r="G32" s="138"/>
      <c r="H32" s="245">
        <v>0</v>
      </c>
      <c r="I32" s="138"/>
    </row>
    <row r="33" spans="1:9" s="7" customFormat="1" ht="13.8" x14ac:dyDescent="0.25">
      <c r="A33" s="72" t="s">
        <v>225</v>
      </c>
      <c r="B33" s="112"/>
      <c r="C33" s="140" t="e">
        <f>SUM(B18:B32)</f>
        <v>#REF!</v>
      </c>
      <c r="D33" s="138"/>
      <c r="F33" s="140">
        <f>SUM(E18:E32)</f>
        <v>2915212</v>
      </c>
      <c r="G33" s="138"/>
      <c r="H33" s="138"/>
      <c r="I33" s="140" t="e">
        <f>SUM(H18:H31)</f>
        <v>#REF!</v>
      </c>
    </row>
    <row r="34" spans="1:9" s="7" customFormat="1" ht="13.8" x14ac:dyDescent="0.25">
      <c r="A34" s="72" t="s">
        <v>307</v>
      </c>
      <c r="B34" s="112"/>
      <c r="C34" s="138" t="e">
        <f>C16-C33</f>
        <v>#REF!</v>
      </c>
      <c r="D34" s="138"/>
      <c r="E34" s="138"/>
      <c r="F34" s="138">
        <f>F16-F33</f>
        <v>12763</v>
      </c>
      <c r="G34" s="138"/>
      <c r="H34" s="138"/>
      <c r="I34" s="138" t="e">
        <f>I16-I33</f>
        <v>#REF!</v>
      </c>
    </row>
    <row r="35" spans="1:9" s="7" customFormat="1" ht="13.8" x14ac:dyDescent="0.25">
      <c r="A35" s="182"/>
      <c r="B35" s="112"/>
      <c r="C35" s="138"/>
      <c r="D35" s="138"/>
      <c r="E35" s="138"/>
      <c r="F35" s="138"/>
      <c r="G35" s="138"/>
      <c r="H35" s="138"/>
      <c r="I35" s="138"/>
    </row>
    <row r="36" spans="1:9" s="7" customFormat="1" ht="13.8" x14ac:dyDescent="0.25">
      <c r="A36" s="42" t="s">
        <v>308</v>
      </c>
      <c r="B36" s="112"/>
      <c r="C36" s="140" t="e">
        <f>Toelichting_expl!#REF!</f>
        <v>#REF!</v>
      </c>
      <c r="D36" s="138"/>
      <c r="E36" s="138"/>
      <c r="F36" s="140">
        <v>-2300</v>
      </c>
      <c r="G36" s="138"/>
      <c r="H36" s="138"/>
      <c r="I36" s="140">
        <v>-2495</v>
      </c>
    </row>
    <row r="37" spans="1:9" s="7" customFormat="1" ht="14.4" thickBot="1" x14ac:dyDescent="0.3">
      <c r="A37" s="72" t="s">
        <v>309</v>
      </c>
      <c r="B37" s="112"/>
      <c r="C37" s="141" t="e">
        <f>SUM(C34:C36)</f>
        <v>#REF!</v>
      </c>
      <c r="D37" s="138"/>
      <c r="E37" s="138"/>
      <c r="F37" s="267">
        <f>SUM(F34:F36)</f>
        <v>10463</v>
      </c>
      <c r="G37" s="138"/>
      <c r="H37" s="138"/>
      <c r="I37" s="141" t="e">
        <f>SUM(I34:I36)</f>
        <v>#REF!</v>
      </c>
    </row>
    <row r="38" spans="1:9" s="7" customFormat="1" ht="14.4" thickTop="1" x14ac:dyDescent="0.25">
      <c r="A38" s="42"/>
      <c r="B38" s="42"/>
      <c r="C38" s="49"/>
      <c r="D38" s="49"/>
      <c r="E38" s="49"/>
      <c r="F38" s="138"/>
      <c r="G38" s="49"/>
      <c r="H38" s="49"/>
      <c r="I38" s="49"/>
    </row>
    <row r="39" spans="1:9" s="7" customFormat="1" ht="13.8" x14ac:dyDescent="0.25">
      <c r="A39" s="72" t="s">
        <v>409</v>
      </c>
      <c r="B39" s="42"/>
      <c r="C39" s="49"/>
      <c r="D39" s="49"/>
      <c r="E39" s="49"/>
      <c r="F39" s="138"/>
      <c r="G39" s="49"/>
      <c r="H39" s="49"/>
      <c r="I39" s="49"/>
    </row>
    <row r="40" spans="1:9" s="7" customFormat="1" ht="13.8" x14ac:dyDescent="0.25">
      <c r="A40" s="42" t="s">
        <v>503</v>
      </c>
      <c r="B40" s="59"/>
      <c r="C40" s="138"/>
      <c r="D40" s="67"/>
      <c r="E40" s="67"/>
      <c r="F40" s="138"/>
      <c r="G40" s="67"/>
      <c r="H40" s="67"/>
      <c r="I40" s="260">
        <v>11000</v>
      </c>
    </row>
    <row r="41" spans="1:9" s="7" customFormat="1" ht="13.8" x14ac:dyDescent="0.25">
      <c r="A41" s="42" t="s">
        <v>536</v>
      </c>
      <c r="B41" s="59"/>
      <c r="C41" s="138"/>
      <c r="D41" s="67"/>
      <c r="E41" s="67"/>
      <c r="F41" s="138"/>
      <c r="G41" s="67"/>
      <c r="H41" s="67"/>
      <c r="I41" s="260">
        <v>8500</v>
      </c>
    </row>
    <row r="42" spans="1:9" s="7" customFormat="1" ht="13.8" x14ac:dyDescent="0.25">
      <c r="A42" s="42" t="s">
        <v>410</v>
      </c>
      <c r="B42" s="59"/>
      <c r="C42" s="140"/>
      <c r="D42" s="67"/>
      <c r="E42" s="67"/>
      <c r="F42" s="140"/>
      <c r="G42" s="67"/>
      <c r="H42" s="67"/>
      <c r="I42" s="52"/>
    </row>
    <row r="43" spans="1:9" s="7" customFormat="1" ht="14.4" thickBot="1" x14ac:dyDescent="0.3">
      <c r="A43" s="68"/>
      <c r="B43" s="59"/>
      <c r="C43" s="199" t="e">
        <f>SUM(C37:C42)</f>
        <v>#REF!</v>
      </c>
      <c r="D43" s="67"/>
      <c r="E43" s="67"/>
      <c r="F43" s="141">
        <f>SUM(F37:F42)</f>
        <v>10463</v>
      </c>
      <c r="G43" s="67"/>
      <c r="H43" s="67"/>
      <c r="I43" s="199" t="e">
        <f>SUM(I37:I42)</f>
        <v>#REF!</v>
      </c>
    </row>
    <row r="44" spans="1:9" s="7" customFormat="1" ht="14.4" thickTop="1" x14ac:dyDescent="0.25">
      <c r="F44" s="138"/>
      <c r="I44" s="12"/>
    </row>
    <row r="45" spans="1:9" s="7" customFormat="1" ht="13.8" x14ac:dyDescent="0.25">
      <c r="F45" s="147"/>
      <c r="I45" s="12"/>
    </row>
  </sheetData>
  <mergeCells count="3">
    <mergeCell ref="B3:C3"/>
    <mergeCell ref="D3:F3"/>
    <mergeCell ref="H3:I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BB3F9E1873541ADACD6AC2294CB9E" ma:contentTypeVersion="8" ma:contentTypeDescription="Een nieuw document maken." ma:contentTypeScope="" ma:versionID="2bfb4ca21ee419ff4820704d79b4f144">
  <xsd:schema xmlns:xsd="http://www.w3.org/2001/XMLSchema" xmlns:xs="http://www.w3.org/2001/XMLSchema" xmlns:p="http://schemas.microsoft.com/office/2006/metadata/properties" xmlns:ns3="27645c1d-cf0f-4fab-a622-5cbab7dcc93c" targetNamespace="http://schemas.microsoft.com/office/2006/metadata/properties" ma:root="true" ma:fieldsID="3b04925f5ed82da9470b5ec66c5d11c2" ns3:_="">
    <xsd:import namespace="27645c1d-cf0f-4fab-a622-5cbab7dcc9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45c1d-cf0f-4fab-a622-5cbab7dcc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6D0DD3-2481-4CBE-9546-6090E630A1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645c1d-cf0f-4fab-a622-5cbab7dcc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563775-64B4-458B-8795-139AEF0D487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7645c1d-cf0f-4fab-a622-5cbab7dcc93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245C29-A942-4FAE-8D77-ED8E7383FF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10</vt:i4>
      </vt:variant>
    </vt:vector>
  </HeadingPairs>
  <TitlesOfParts>
    <vt:vector size="24" baseType="lpstr">
      <vt:lpstr>controleblad</vt:lpstr>
      <vt:lpstr>Voorblad</vt:lpstr>
      <vt:lpstr>Invoer met subtotalen</vt:lpstr>
      <vt:lpstr>Begroting</vt:lpstr>
      <vt:lpstr>Inhoud</vt:lpstr>
      <vt:lpstr>Algemeen</vt:lpstr>
      <vt:lpstr>Resultatenanalyse</vt:lpstr>
      <vt:lpstr>Financiële positie</vt:lpstr>
      <vt:lpstr>Exploitatie</vt:lpstr>
      <vt:lpstr>Kasstroomoverzicht</vt:lpstr>
      <vt:lpstr>Grondslagen</vt:lpstr>
      <vt:lpstr>Toelichting_expl</vt:lpstr>
      <vt:lpstr>Overige gegevens 2017</vt:lpstr>
      <vt:lpstr>topsport spec</vt:lpstr>
      <vt:lpstr>Algemeen!Afdrukbereik</vt:lpstr>
      <vt:lpstr>Begroting!Afdrukbereik</vt:lpstr>
      <vt:lpstr>Exploitatie!Afdrukbereik</vt:lpstr>
      <vt:lpstr>'Financiële positie'!Afdrukbereik</vt:lpstr>
      <vt:lpstr>Grondslagen!Afdrukbereik</vt:lpstr>
      <vt:lpstr>Inhoud!Afdrukbereik</vt:lpstr>
      <vt:lpstr>Resultatenanalyse!Afdrukbereik</vt:lpstr>
      <vt:lpstr>'Invoer met subtotalen'!Afdruktitels</vt:lpstr>
      <vt:lpstr>Toelichting_expl!Afdruktitels</vt:lpstr>
      <vt:lpstr>'topsport spec'!Afdruktitels</vt:lpstr>
    </vt:vector>
  </TitlesOfParts>
  <Company>Schuiteman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Schuiteman</dc:creator>
  <cp:lastModifiedBy>Rembert Groenman</cp:lastModifiedBy>
  <cp:lastPrinted>2019-04-02T11:53:44Z</cp:lastPrinted>
  <dcterms:created xsi:type="dcterms:W3CDTF">1999-03-13T11:10:04Z</dcterms:created>
  <dcterms:modified xsi:type="dcterms:W3CDTF">2020-01-16T10:23:18Z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0x010100896BB3F9E1873541ADACD6AC2294CB9E</vt:lpwstr>
  </property>
</Properties>
</file>